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List'!$A$4:$Q$2461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<sst xmlns="http://schemas.openxmlformats.org/spreadsheetml/2006/main" count="22543" uniqueCount="15866">
  <si>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</si>
  <si>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</si>
  <si>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</si>
  <si>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</si>
  <si>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</si>
  <si>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</si>
  <si>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</si>
  <si>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</si>
  <si>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</si>
  <si>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</si>
  <si>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</si>
  <si>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</si>
  <si>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</si>
  <si>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</si>
  <si>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</si>
  <si>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</si>
  <si>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</si>
  <si>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</si>
  <si>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</si>
  <si>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</si>
  <si>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</si>
  <si>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</si>
  <si>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</si>
  <si>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</si>
  <si>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</si>
  <si>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</si>
  <si>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</si>
  <si>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</si>
  <si>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</si>
  <si>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</si>
  <si>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</si>
  <si>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</si>
  <si>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</si>
  <si>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</si>
  <si>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</si>
  <si>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</si>
  <si>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</si>
  <si>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</si>
  <si>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</si>
  <si>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</si>
  <si>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</si>
  <si>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</si>
  <si>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</si>
  <si>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</si>
  <si>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</si>
  <si>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</si>
  <si>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</si>
  <si>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</si>
  <si>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</si>
  <si>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</si>
  <si>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</si>
  <si>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</si>
  <si>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</si>
  <si>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</si>
  <si>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</si>
  <si>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</si>
  <si>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</si>
  <si>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</si>
  <si>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</si>
  <si>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</si>
  <si>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</si>
  <si>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</si>
  <si>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</si>
  <si>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</si>
  <si>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</si>
  <si>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</si>
  <si>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</si>
  <si>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</si>
  <si>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</si>
  <si>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</si>
  <si>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</si>
  <si>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</si>
  <si>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</si>
  <si>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</si>
  <si>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</si>
  <si>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</si>
  <si>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</si>
  <si>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</si>
  <si>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</si>
  <si>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</si>
  <si>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</si>
  <si>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</si>
  <si>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</si>
  <si>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</si>
  <si>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</si>
  <si>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</si>
  <si>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</si>
  <si>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</si>
  <si>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</si>
  <si>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</si>
  <si>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</si>
  <si>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</si>
  <si>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</si>
  <si>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</si>
  <si>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</si>
  <si>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</si>
  <si>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</si>
  <si>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</si>
  <si>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</si>
  <si>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</si>
  <si>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</si>
  <si>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</si>
  <si>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</si>
  <si>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</si>
  <si>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</si>
  <si>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</si>
  <si>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</si>
  <si>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</si>
  <si>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</si>
  <si>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</si>
  <si>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</si>
  <si>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</si>
  <si>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</si>
  <si>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</si>
  <si>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</si>
  <si>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</si>
  <si>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</si>
  <si>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</si>
  <si>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</si>
  <si>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</si>
  <si>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</si>
  <si>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</si>
  <si>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</si>
  <si>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</si>
  <si>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Capacitor</t>
  </si>
  <si>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</si>
  <si>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</si>
  <si>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</si>
  <si>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</si>
  <si>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</si>
  <si>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</si>
  <si>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</si>
  <si>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</si>
  <si>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</si>
  <si>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</si>
  <si>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</si>
  <si>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</si>
  <si>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</si>
  <si>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</si>
  <si>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</si>
  <si>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</si>
  <si>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</si>
  <si>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</si>
  <si>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</si>
  <si>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</si>
  <si>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</si>
  <si>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</si>
  <si>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</si>
  <si>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</si>
  <si>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</si>
  <si>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</si>
  <si>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</si>
  <si>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</si>
  <si>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</si>
  <si>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</si>
  <si>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</si>
  <si>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CID000538</t>
  </si>
  <si>
    <t>Gejiu Non-Ferrous Metal Processing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</si>
  <si>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</si>
  <si>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</si>
  <si>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</si>
  <si>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</si>
  <si>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</si>
  <si>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</si>
  <si>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</si>
  <si>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</si>
  <si>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</si>
  <si>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</si>
  <si>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</si>
  <si>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</si>
  <si>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</si>
  <si>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</si>
  <si>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</si>
  <si>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</si>
  <si>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</si>
  <si>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</si>
  <si>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</si>
  <si>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RMI</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</si>
  <si>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</si>
  <si>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</si>
  <si>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</si>
  <si>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</si>
  <si>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</si>
  <si>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</si>
  <si>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</si>
  <si>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</si>
  <si>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</si>
  <si>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</si>
  <si>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</si>
  <si>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</si>
  <si>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</si>
  <si>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</si>
  <si>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</si>
  <si>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</si>
  <si>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</si>
  <si>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</si>
  <si>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</si>
  <si>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</si>
  <si>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</si>
  <si>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</si>
  <si>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</si>
  <si>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</si>
  <si>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</si>
  <si>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</si>
  <si>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</si>
  <si>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</si>
  <si>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</si>
  <si>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</si>
  <si>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</si>
  <si>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</si>
  <si>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</si>
  <si>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</si>
  <si>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</si>
  <si>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</si>
  <si>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</si>
  <si>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</si>
  <si>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</si>
  <si>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</si>
  <si>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</si>
  <si>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</si>
  <si>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</si>
  <si>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</si>
  <si>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</si>
  <si>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</si>
  <si>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</si>
  <si>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</si>
  <si>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</si>
  <si>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</si>
  <si>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</si>
  <si>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</si>
  <si>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</si>
  <si>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</si>
  <si>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</si>
  <si>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</si>
  <si>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</si>
  <si>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</si>
  <si>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</si>
  <si>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</si>
  <si>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</si>
  <si>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</si>
  <si>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</si>
  <si>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</si>
  <si>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</si>
  <si>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</si>
  <si>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</si>
  <si>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</si>
  <si>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</si>
  <si>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</si>
  <si>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</si>
  <si>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</si>
  <si>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</si>
  <si>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</si>
  <si>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</si>
  <si>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</si>
  <si>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</si>
  <si>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</si>
  <si>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</si>
  <si>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CHINA</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</si>
  <si>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</si>
  <si>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</si>
  <si>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</si>
  <si>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</si>
  <si>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</si>
  <si>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</si>
  <si>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</si>
  <si>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</si>
  <si>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</si>
  <si>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</si>
  <si>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</si>
  <si>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</si>
  <si>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</si>
  <si>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</si>
  <si>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</si>
  <si>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</si>
  <si>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</si>
  <si>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</si>
  <si>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</si>
  <si>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</si>
  <si>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</si>
  <si>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</si>
  <si>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</si>
  <si>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</si>
  <si>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</si>
  <si>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</si>
  <si>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</si>
  <si>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</si>
  <si>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</si>
  <si>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</si>
  <si>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</si>
  <si>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</si>
  <si>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</si>
  <si>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</si>
  <si>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</si>
  <si>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</si>
  <si>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</si>
  <si>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</si>
  <si>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</si>
  <si>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</si>
  <si>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</si>
  <si>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</si>
  <si>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</si>
  <si>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</si>
  <si>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</si>
  <si>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</si>
  <si>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</si>
  <si>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</si>
  <si>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</si>
  <si>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</si>
  <si>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</si>
  <si>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</si>
  <si>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</si>
  <si>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</si>
  <si>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</si>
  <si>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</si>
  <si>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</si>
  <si>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</si>
  <si>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</si>
  <si>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</si>
  <si>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</si>
  <si>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</si>
  <si>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</si>
  <si>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</si>
  <si>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</si>
  <si>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</si>
  <si>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</si>
  <si>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</si>
  <si>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</si>
  <si>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</si>
  <si>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</si>
  <si>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</si>
  <si>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</si>
  <si>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</si>
  <si>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</si>
  <si>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</si>
  <si>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</si>
  <si>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</si>
  <si>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</si>
  <si>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</si>
  <si>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</si>
  <si>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</si>
  <si>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</si>
  <si>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</si>
  <si>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</si>
  <si>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</si>
  <si>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</si>
  <si>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</si>
  <si>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</si>
  <si>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</si>
  <si>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</si>
  <si>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</si>
  <si>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</si>
  <si>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</si>
  <si>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</si>
  <si>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</si>
  <si>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</si>
  <si>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</si>
  <si>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</si>
  <si>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</si>
  <si>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</si>
  <si>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</si>
  <si>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</si>
  <si>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</si>
  <si>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</si>
  <si>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</si>
  <si>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</si>
  <si>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</si>
  <si>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</si>
  <si>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</si>
  <si>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</si>
  <si>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</si>
  <si>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</si>
  <si>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</si>
  <si>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</si>
  <si>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</si>
  <si>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</si>
  <si>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</si>
  <si>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</si>
  <si>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</si>
  <si>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</si>
  <si>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Yunnan Sheng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</si>
  <si>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</si>
  <si>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</si>
  <si>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</si>
  <si>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</si>
  <si>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</si>
  <si>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</si>
  <si>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</si>
  <si>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</si>
  <si>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</si>
  <si>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</si>
  <si>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</si>
  <si>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</si>
  <si>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</si>
  <si>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</si>
  <si>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</si>
  <si>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</si>
  <si>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</si>
  <si>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</si>
  <si>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</si>
  <si>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</si>
  <si>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</si>
  <si>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</si>
  <si>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</si>
  <si>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</si>
  <si>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</si>
  <si>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</si>
  <si>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</si>
  <si>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</si>
  <si>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</si>
  <si>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</si>
  <si>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</si>
  <si>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</si>
  <si>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</si>
  <si>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</si>
  <si>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</si>
  <si>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</si>
  <si>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</si>
  <si>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</si>
  <si>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</si>
  <si>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</si>
  <si>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</si>
  <si>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</si>
  <si>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</si>
  <si>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</si>
  <si>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</si>
  <si>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</si>
  <si>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</si>
  <si>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</si>
  <si>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</si>
  <si>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</si>
  <si>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</si>
  <si>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</si>
  <si>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</si>
  <si>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</si>
  <si>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</si>
  <si>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</si>
  <si>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</si>
  <si>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</si>
  <si>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</si>
  <si>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</si>
  <si>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</si>
  <si>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</si>
  <si>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</si>
  <si>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</si>
  <si>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</si>
  <si>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</si>
  <si>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</si>
  <si>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</si>
  <si>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</si>
  <si>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</si>
  <si>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</si>
  <si>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</si>
  <si>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</si>
  <si>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</si>
  <si>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</si>
  <si>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</si>
  <si>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</si>
  <si>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</si>
  <si>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</si>
  <si>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</si>
  <si>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</si>
  <si>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</si>
  <si>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</si>
  <si>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</si>
  <si>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</si>
  <si>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</si>
  <si>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</si>
  <si>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</si>
  <si>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</si>
  <si>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</si>
  <si>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</si>
  <si>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</si>
  <si>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</si>
  <si>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</si>
  <si>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</si>
  <si>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</si>
  <si>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</si>
  <si>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</si>
  <si>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</si>
  <si>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</si>
  <si>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</si>
  <si>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</si>
  <si>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</si>
  <si>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</si>
  <si>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</si>
  <si>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</si>
  <si>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</si>
  <si>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</si>
  <si>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</si>
  <si>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</si>
  <si>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</si>
  <si>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</si>
  <si>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</si>
  <si>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</si>
  <si>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</si>
  <si>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</si>
  <si>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</si>
  <si>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</si>
  <si>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</si>
  <si>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</si>
  <si>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</si>
  <si>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</si>
  <si>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</si>
  <si>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</si>
  <si>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</si>
  <si>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</si>
  <si>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</si>
  <si>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</si>
  <si>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</si>
  <si>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</si>
  <si>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</si>
  <si>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</si>
  <si>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</si>
  <si>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</si>
  <si>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</si>
  <si>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</si>
  <si>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</si>
  <si>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</si>
  <si>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</si>
  <si>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</si>
  <si>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</si>
  <si>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</si>
  <si>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</si>
  <si>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</si>
  <si>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</si>
  <si>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</si>
  <si>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</si>
  <si>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</si>
  <si>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</si>
  <si>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</si>
  <si>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</si>
  <si>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</si>
  <si>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</si>
  <si>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</si>
  <si>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</si>
  <si>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</si>
  <si>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</si>
  <si>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</si>
  <si>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</si>
  <si>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</si>
  <si>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</si>
  <si>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</si>
  <si>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</si>
  <si>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</si>
  <si>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</si>
  <si>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</si>
  <si>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</si>
  <si>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</si>
  <si>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</si>
  <si>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</si>
  <si>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</si>
  <si>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</si>
  <si>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</si>
  <si>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</si>
  <si>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</si>
  <si>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</si>
  <si>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</si>
  <si>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</si>
  <si>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</si>
  <si>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</si>
  <si>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</si>
  <si>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</si>
  <si>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</si>
  <si>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</si>
  <si>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</si>
  <si>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</si>
  <si>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</si>
  <si>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</si>
  <si>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</si>
  <si>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</si>
  <si>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</si>
  <si>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</si>
  <si>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</si>
  <si>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</si>
  <si>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</si>
  <si>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</si>
  <si>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</si>
  <si>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</si>
  <si>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</si>
  <si>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</si>
  <si>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</si>
  <si>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</si>
  <si>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</si>
  <si>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</si>
  <si>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</si>
  <si>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</si>
  <si>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</si>
  <si>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</si>
  <si>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</si>
  <si>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</si>
  <si>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</si>
  <si>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</si>
  <si>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</si>
  <si>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</si>
  <si>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</si>
  <si>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</si>
  <si>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</si>
  <si>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</si>
  <si>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</si>
  <si>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</si>
  <si>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</si>
  <si>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</si>
  <si>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</si>
  <si>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</si>
  <si>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</si>
  <si>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</si>
  <si>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</si>
  <si>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</si>
  <si>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</si>
  <si>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</si>
  <si>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</si>
  <si>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</si>
  <si>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</si>
  <si>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</si>
  <si>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</si>
  <si>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</si>
  <si>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</si>
  <si>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</si>
  <si>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</si>
  <si>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</si>
  <si>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</si>
  <si>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</si>
  <si>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</si>
  <si>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</si>
  <si>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</si>
  <si>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</si>
  <si>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</si>
  <si>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</si>
  <si>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</si>
  <si>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</si>
  <si>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</si>
  <si>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</si>
  <si>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</si>
  <si>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</si>
  <si>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</si>
  <si>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</si>
  <si>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</si>
  <si>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</si>
  <si>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</si>
  <si>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</si>
  <si>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</si>
  <si>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</si>
  <si>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</si>
  <si>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</si>
  <si>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</si>
  <si>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</si>
  <si>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</si>
  <si>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</si>
  <si>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</si>
  <si>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</si>
  <si>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</si>
  <si>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</si>
  <si>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</si>
  <si>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</si>
  <si>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</si>
  <si>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</si>
  <si>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</si>
  <si>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</si>
  <si>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</si>
  <si>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</si>
  <si>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</si>
  <si>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</si>
  <si>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</si>
  <si>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</si>
  <si>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</si>
  <si>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</si>
  <si>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</si>
  <si>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</si>
  <si>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</si>
  <si>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</si>
  <si>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</si>
  <si>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</si>
  <si>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</si>
  <si>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</si>
  <si>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</si>
  <si>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</si>
  <si>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</si>
  <si>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</si>
  <si>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</si>
  <si>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</si>
  <si>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</si>
  <si>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</si>
  <si>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</si>
  <si>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</si>
  <si>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</si>
  <si>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</si>
  <si>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</si>
  <si>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</si>
  <si>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</si>
  <si>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</si>
  <si>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</si>
  <si>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</si>
  <si>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</si>
  <si>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</si>
  <si>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</si>
  <si>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</si>
  <si>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</si>
  <si>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</si>
  <si>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</si>
  <si>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</si>
  <si>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</si>
  <si>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</si>
  <si>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</si>
  <si>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</si>
  <si>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</si>
  <si>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</si>
  <si>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</si>
  <si>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</si>
  <si>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</si>
  <si>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</si>
  <si>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</si>
  <si>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</si>
  <si>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</si>
  <si>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</si>
  <si>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</si>
  <si>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</si>
  <si>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</si>
  <si>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</si>
  <si>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</si>
  <si>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</si>
  <si>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</si>
  <si>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</si>
  <si>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</si>
  <si>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</si>
  <si>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</si>
  <si>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</si>
  <si>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</si>
  <si>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</si>
  <si>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</si>
  <si>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</si>
  <si>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</si>
  <si>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</si>
  <si>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</si>
  <si>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</si>
  <si>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</si>
  <si>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</si>
  <si>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</si>
  <si>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</si>
  <si>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</si>
  <si>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</si>
  <si>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</si>
  <si>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</si>
  <si>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</si>
  <si>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</si>
  <si>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</si>
  <si>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</si>
  <si>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</si>
  <si>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</si>
  <si>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</si>
  <si>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</si>
  <si>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</si>
  <si>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</si>
  <si>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</si>
  <si>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</si>
  <si>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</si>
  <si>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</si>
  <si>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</si>
  <si>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</si>
  <si>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</si>
  <si>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</si>
  <si>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</si>
  <si>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</si>
  <si>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</si>
  <si>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</si>
  <si>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</si>
  <si>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</si>
  <si>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</si>
  <si>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</si>
  <si>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</si>
  <si>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</si>
  <si>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</si>
  <si>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</si>
  <si>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</si>
  <si>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</si>
  <si>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</si>
  <si>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</si>
  <si>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</si>
  <si>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</si>
  <si>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</si>
  <si>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</si>
  <si>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</si>
  <si>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</si>
  <si>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</si>
  <si>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</si>
  <si>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</si>
  <si>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</si>
  <si>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</si>
  <si>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</si>
  <si>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</si>
  <si>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</si>
  <si>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</si>
  <si>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</si>
  <si>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</si>
  <si>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</si>
  <si>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</si>
  <si>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</si>
  <si>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</si>
  <si>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</si>
  <si>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</si>
  <si>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</si>
  <si>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</si>
  <si>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</si>
  <si>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</si>
  <si>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</si>
  <si>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</si>
  <si>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</si>
  <si>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</si>
  <si>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</si>
  <si>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</si>
  <si>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</si>
  <si>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</si>
  <si>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</si>
  <si>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</si>
  <si>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</si>
  <si>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</si>
  <si>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</si>
  <si>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</si>
  <si>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</si>
  <si>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</si>
  <si>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</si>
  <si>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</si>
  <si>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</si>
  <si>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</si>
  <si>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</si>
  <si>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</si>
  <si>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</si>
  <si>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</si>
  <si>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</si>
  <si>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</si>
  <si>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</si>
  <si>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</si>
  <si>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</si>
  <si>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</si>
  <si>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</si>
  <si>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</si>
  <si>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</si>
  <si>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</si>
  <si>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</si>
  <si>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</si>
  <si>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</si>
  <si>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</si>
  <si>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</si>
  <si>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</si>
  <si>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</si>
  <si>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</si>
  <si>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</si>
  <si>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</si>
  <si>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</si>
  <si>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</si>
  <si>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</si>
  <si>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</si>
  <si>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</si>
  <si>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</si>
  <si>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</si>
  <si>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</si>
  <si>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</si>
  <si>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</si>
  <si>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</si>
  <si>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</si>
  <si>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</si>
  <si>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</si>
  <si>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</si>
  <si>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</si>
  <si>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</si>
  <si>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</si>
  <si>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</si>
  <si>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</si>
  <si>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</si>
  <si>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</si>
  <si>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</si>
  <si>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</si>
  <si>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</si>
  <si>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</si>
  <si>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</si>
  <si>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</si>
  <si>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</si>
  <si>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</si>
  <si>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</si>
  <si>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</si>
  <si>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</si>
  <si>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</si>
  <si>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</si>
  <si>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</si>
  <si>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</si>
  <si>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</si>
  <si>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</si>
  <si>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</si>
  <si>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</si>
  <si>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</si>
  <si>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</si>
  <si>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</si>
  <si>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</si>
  <si>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</si>
  <si>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</si>
  <si>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</si>
  <si>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</si>
  <si>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</si>
  <si>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</si>
  <si>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</si>
  <si>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</si>
  <si>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</si>
  <si>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</si>
  <si>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</si>
  <si>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</si>
  <si>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</si>
  <si>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</si>
  <si>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</si>
  <si>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</si>
  <si>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</si>
  <si>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</si>
  <si>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</si>
  <si>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</si>
  <si>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</si>
  <si>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</si>
  <si>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</si>
  <si>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</si>
  <si>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</si>
  <si>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</si>
  <si>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</si>
  <si>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</si>
  <si>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</si>
  <si>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</si>
  <si>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</si>
  <si>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</si>
  <si>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</si>
  <si>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</si>
  <si>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</si>
  <si>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</si>
  <si>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</si>
  <si>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</si>
  <si>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</si>
  <si>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</si>
  <si>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</si>
  <si>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</si>
  <si>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</si>
  <si>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</si>
  <si>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</si>
  <si>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</si>
  <si>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</si>
  <si>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</si>
  <si>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</si>
  <si>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</si>
  <si>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</si>
  <si>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</si>
  <si>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</si>
  <si>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</si>
  <si>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</si>
  <si>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</si>
  <si>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</si>
  <si>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</si>
  <si>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</si>
  <si>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</si>
  <si>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</si>
  <si>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</si>
  <si>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</si>
  <si>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</si>
  <si>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</si>
  <si>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</si>
  <si>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</si>
  <si>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</si>
  <si>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</si>
  <si>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</si>
  <si>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</si>
  <si>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</si>
  <si>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</si>
  <si>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</si>
  <si>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</si>
  <si>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</si>
  <si>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</si>
  <si>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</si>
  <si>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</si>
  <si>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</si>
  <si>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</si>
  <si>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</si>
  <si>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</si>
  <si>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</si>
  <si>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</si>
  <si>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</si>
  <si>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</si>
  <si>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</si>
  <si>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</si>
  <si>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</si>
  <si>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</si>
  <si>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</si>
  <si>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</si>
  <si>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</si>
  <si>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</si>
  <si>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</si>
  <si>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</si>
  <si>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</si>
  <si>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</si>
  <si>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</si>
  <si>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</si>
  <si>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</si>
  <si>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</si>
  <si>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</si>
  <si>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</si>
  <si>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</si>
  <si>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</si>
  <si>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</si>
  <si>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</si>
  <si>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</si>
  <si>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</si>
  <si>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</si>
  <si>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</si>
  <si>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</si>
  <si>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</si>
  <si>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</si>
  <si>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</si>
  <si>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</si>
  <si>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</si>
  <si>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</si>
  <si>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</si>
  <si>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</si>
  <si>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</si>
  <si>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</si>
  <si>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</si>
  <si>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</si>
  <si>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</si>
  <si>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</si>
  <si>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</si>
  <si>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</si>
  <si>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</si>
  <si>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</si>
  <si>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</si>
  <si>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</si>
  <si>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</si>
  <si>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</si>
  <si>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</si>
  <si>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</si>
  <si>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</si>
  <si>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</si>
  <si>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</si>
  <si>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</si>
  <si>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</si>
  <si>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</si>
  <si>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</si>
  <si>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</si>
  <si>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</si>
  <si>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</si>
  <si>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</si>
  <si>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</si>
  <si>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</si>
  <si>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</si>
  <si>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</si>
  <si>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</si>
  <si>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</si>
  <si>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</si>
  <si>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</si>
  <si>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</si>
  <si>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</si>
  <si>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</si>
  <si>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</si>
  <si>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</si>
  <si>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</si>
  <si>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</si>
  <si>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</si>
  <si>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</si>
  <si>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</si>
  <si>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</si>
  <si>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</si>
  <si>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</si>
  <si>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</si>
  <si>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</si>
  <si>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</si>
  <si>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</si>
  <si>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</si>
  <si>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</si>
  <si>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</si>
  <si>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</si>
  <si>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</si>
  <si>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</si>
  <si>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</si>
  <si>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</si>
  <si>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</si>
  <si>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</si>
  <si>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</si>
  <si>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</si>
  <si>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</si>
  <si>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</si>
  <si>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</si>
  <si>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</si>
  <si>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</si>
  <si>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</si>
  <si>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</si>
  <si>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</si>
  <si>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</si>
  <si>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</si>
  <si>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</si>
  <si>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</si>
  <si>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</si>
  <si>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</si>
  <si>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</si>
  <si>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</si>
  <si>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</si>
  <si>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</si>
  <si>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</si>
  <si>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</si>
  <si>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</si>
  <si>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</si>
  <si>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</si>
  <si>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</si>
  <si>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</si>
  <si>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</si>
  <si>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</si>
  <si>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</si>
  <si>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</si>
  <si>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</si>
  <si>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</si>
  <si>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</si>
  <si>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</si>
  <si>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</si>
  <si>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</si>
  <si>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</si>
  <si>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</si>
  <si>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</si>
  <si>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</si>
  <si>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</si>
  <si>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</si>
  <si>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</si>
  <si>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</si>
  <si>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</si>
  <si>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</si>
  <si>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</si>
  <si>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</si>
  <si>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</si>
  <si>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</si>
  <si>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</si>
  <si>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</si>
  <si>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</si>
  <si>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</si>
  <si>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</si>
  <si>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</si>
  <si>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</si>
  <si>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</si>
  <si>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</si>
  <si>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</si>
  <si>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</si>
  <si>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</si>
  <si>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</si>
  <si>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</si>
  <si>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</si>
  <si>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</si>
  <si>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</si>
  <si>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</si>
  <si>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</si>
  <si>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</si>
  <si>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</si>
  <si>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</si>
  <si>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</si>
  <si>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</si>
  <si>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</si>
  <si>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</si>
  <si>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</si>
  <si>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</si>
  <si>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</si>
  <si>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</si>
  <si>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</si>
  <si>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</si>
  <si>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</si>
  <si>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</si>
  <si>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</si>
  <si>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</si>
  <si>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</si>
  <si>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</si>
  <si>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</si>
  <si>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</si>
  <si>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</si>
  <si>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</si>
  <si>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</si>
  <si>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</si>
  <si>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</si>
  <si>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</si>
  <si>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</si>
  <si>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</si>
  <si>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</si>
  <si>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</si>
  <si>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</si>
  <si>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</si>
  <si>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</si>
  <si>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</si>
  <si>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</si>
  <si>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CID000228</t>
  </si>
  <si>
    <t>Chifeng Dajingzi Tin Industry Co., Ltd.</t>
  </si>
  <si>
    <t>CID003190</t>
  </si>
  <si>
    <t>Chifeng</t>
  </si>
  <si>
    <t>China Tin (Hechi)</t>
  </si>
  <si>
    <t>China Tin Group Co., Ltd.</t>
  </si>
  <si>
    <t>Laibin</t>
  </si>
  <si>
    <t>Guangxi Zhuangzu Zizhiqu</t>
  </si>
  <si>
    <t>China Tin Lai Ben Smelter Co., Ltd.</t>
  </si>
  <si>
    <t>China Yunnan Tin Co Ltd.</t>
  </si>
  <si>
    <t>Tin Smelting Branch of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</si>
  <si>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</si>
  <si>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</si>
  <si>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</si>
  <si>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</si>
  <si>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</si>
  <si>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</si>
  <si>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</si>
  <si>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</si>
  <si>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</si>
  <si>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</si>
  <si>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</si>
  <si>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</si>
  <si>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</si>
  <si>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</si>
  <si>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</si>
  <si>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</si>
  <si>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</si>
  <si>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</si>
  <si>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</si>
  <si>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</si>
  <si>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</si>
  <si>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</si>
  <si>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</si>
  <si>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</si>
  <si>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</si>
  <si>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</si>
  <si>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</si>
  <si>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</si>
  <si>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</si>
  <si>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</si>
  <si>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</si>
  <si>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</si>
  <si>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</si>
  <si>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</si>
  <si>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</si>
  <si>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</si>
  <si>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</si>
  <si>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</si>
  <si>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</si>
  <si>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</si>
  <si>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</si>
  <si>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</si>
  <si>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</si>
  <si>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</si>
  <si>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</si>
  <si>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</si>
  <si>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</si>
  <si>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</si>
  <si>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</si>
  <si>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</si>
  <si>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</si>
  <si>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</si>
  <si>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</si>
  <si>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</si>
  <si>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</si>
  <si>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</si>
  <si>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</si>
  <si>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</si>
  <si>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</si>
  <si>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</si>
  <si>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</si>
  <si>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</si>
  <si>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</si>
  <si>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</si>
  <si>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</si>
  <si>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</si>
  <si>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</si>
  <si>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</si>
  <si>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</si>
  <si>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</si>
  <si>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</si>
  <si>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</si>
  <si>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</si>
  <si>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</si>
  <si>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</si>
  <si>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</si>
  <si>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</si>
  <si>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</si>
  <si>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</si>
  <si>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</si>
  <si>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</si>
  <si>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</si>
  <si>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</si>
  <si>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</si>
  <si>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</si>
  <si>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</si>
  <si>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</si>
  <si>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</si>
  <si>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</si>
  <si>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</si>
  <si>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</si>
  <si>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</si>
  <si>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</si>
  <si>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</si>
  <si>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</si>
  <si>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</si>
  <si>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</si>
  <si>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</si>
  <si>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</si>
  <si>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</si>
  <si>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</si>
  <si>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</si>
  <si>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</si>
  <si>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</si>
  <si>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</si>
  <si>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</si>
  <si>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</si>
  <si>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</si>
  <si>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</si>
  <si>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</si>
  <si>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</si>
  <si>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PT Timah Tbk Kundur</t>
  </si>
  <si>
    <t>CID001477</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</si>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</sst>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color rgb="FFFF0000"/>
      <name val="MS PGothic"/>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3">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eetMetadata" Target="metadata.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5" customWidth="1"/>
    <col min="5" max="5" width="42.3846153846154" customWidth="1"/>
    <col min="6" max="6" width="53.3846153846154" customWidth="1"/>
    <col min="7" max="7" width="0.846153846153846" customWidth="1"/>
  </cols>
  <sheetData>
    <row r="1" ht="14.25" spans="1:7">
      <c r="A1" s="336"/>
      <c r="B1" s="337"/>
      <c r="C1" s="337"/>
      <c r="D1" s="338"/>
      <c r="E1" s="337"/>
      <c r="F1" s="337"/>
      <c r="G1" s="339"/>
    </row>
    <row r="2" spans="1:7">
      <c r="A2" s="340"/>
      <c r="B2" s="341" t="s">
        <v>0</v>
      </c>
      <c r="C2" s="177"/>
      <c r="D2" s="342"/>
      <c r="E2" s="177"/>
      <c r="F2" s="177"/>
      <c r="G2" s="319"/>
    </row>
    <row r="3" spans="1:7">
      <c r="A3" s="340"/>
      <c r="B3" s="177" t="s">
        <v>1</v>
      </c>
      <c r="C3" s="341"/>
      <c r="D3" s="343"/>
      <c r="E3" s="177"/>
      <c r="F3" s="341"/>
      <c r="G3" s="319"/>
    </row>
    <row r="4" ht="15" spans="1:7">
      <c r="A4" s="340"/>
      <c r="B4" s="344" t="s">
        <v>2</v>
      </c>
      <c r="C4" s="345"/>
      <c r="D4" s="346"/>
      <c r="E4" s="177"/>
      <c r="F4" s="345"/>
      <c r="G4" s="319"/>
    </row>
    <row r="5" spans="1:7">
      <c r="A5" s="340"/>
      <c r="B5" s="347" t="s">
        <v>3</v>
      </c>
      <c r="C5" s="348"/>
      <c r="D5" s="349"/>
      <c r="E5" s="177"/>
      <c r="F5" s="348"/>
      <c r="G5" s="319"/>
    </row>
    <row r="6" spans="1:7">
      <c r="A6" s="340"/>
      <c r="B6" s="177"/>
      <c r="C6" s="177"/>
      <c r="D6" s="342"/>
      <c r="E6" s="177"/>
      <c r="F6" s="177"/>
      <c r="G6" s="319"/>
    </row>
    <row r="7" spans="1:7">
      <c r="A7" s="340"/>
      <c r="B7" s="177"/>
      <c r="C7" s="177"/>
      <c r="D7" s="342"/>
      <c r="E7" s="177"/>
      <c r="F7" s="177"/>
      <c r="G7" s="319"/>
    </row>
    <row r="8" spans="1:7">
      <c r="A8" s="340"/>
      <c r="B8" s="177"/>
      <c r="C8" s="177"/>
      <c r="D8" s="342"/>
      <c r="E8" s="177"/>
      <c r="F8" s="177"/>
      <c r="G8" s="319"/>
    </row>
    <row r="9" spans="1:7">
      <c r="A9" s="340"/>
      <c r="B9" s="350" t="s">
        <v>4</v>
      </c>
      <c r="C9" s="350"/>
      <c r="D9" s="350"/>
      <c r="E9" s="350"/>
      <c r="F9" s="350"/>
      <c r="G9" s="319"/>
    </row>
    <row r="10" ht="27" customHeight="1" spans="1:7">
      <c r="A10" s="340"/>
      <c r="B10" s="351" t="s">
        <v>5</v>
      </c>
      <c r="C10" s="351"/>
      <c r="D10" s="351"/>
      <c r="E10" s="351"/>
      <c r="F10" s="351"/>
      <c r="G10" s="319"/>
    </row>
    <row r="11" ht="27" customHeight="1" spans="1:7">
      <c r="A11" s="340"/>
      <c r="B11" s="352"/>
      <c r="C11" s="352"/>
      <c r="D11" s="352"/>
      <c r="E11" s="352"/>
      <c r="F11" s="352"/>
      <c r="G11" s="319"/>
    </row>
    <row r="12" spans="1:7">
      <c r="A12" s="340"/>
      <c r="B12" s="353" t="s">
        <v>6</v>
      </c>
      <c r="C12" s="354" t="s">
        <v>7</v>
      </c>
      <c r="D12" s="355" t="s">
        <v>8</v>
      </c>
      <c r="E12" s="354" t="s">
        <v>9</v>
      </c>
      <c r="F12" s="354" t="s">
        <v>10</v>
      </c>
      <c r="G12" s="319"/>
    </row>
    <row r="13" ht="34.5" spans="1:7">
      <c r="A13" s="340"/>
      <c r="B13" s="356">
        <v>1</v>
      </c>
      <c r="C13" s="357" t="s">
        <v>11</v>
      </c>
      <c r="D13" s="358" t="s">
        <v>12</v>
      </c>
      <c r="E13" s="359" t="s">
        <v>13</v>
      </c>
      <c r="F13" s="359"/>
      <c r="G13" s="319"/>
    </row>
    <row r="14" ht="46" spans="1:7">
      <c r="A14" s="340"/>
      <c r="B14" s="356">
        <v>2</v>
      </c>
      <c r="C14" s="357" t="s">
        <v>11</v>
      </c>
      <c r="D14" s="358" t="s">
        <v>14</v>
      </c>
      <c r="E14" s="359" t="s">
        <v>15</v>
      </c>
      <c r="F14" s="359" t="s">
        <v>16</v>
      </c>
      <c r="G14" s="319"/>
    </row>
    <row r="15" ht="89.15" customHeight="1" spans="1:7">
      <c r="A15" s="340"/>
      <c r="B15" s="360">
        <v>2.01</v>
      </c>
      <c r="C15" s="361" t="s">
        <v>11</v>
      </c>
      <c r="D15" s="362" t="s">
        <v>17</v>
      </c>
      <c r="E15" s="363" t="s">
        <v>18</v>
      </c>
      <c r="F15" s="363" t="s">
        <v>19</v>
      </c>
      <c r="G15" s="319"/>
    </row>
    <row r="16" ht="99" customHeight="1" spans="1:7">
      <c r="A16" s="340"/>
      <c r="B16" s="364"/>
      <c r="C16" s="365"/>
      <c r="D16" s="366"/>
      <c r="E16" s="367"/>
      <c r="F16" s="367" t="s">
        <v>20</v>
      </c>
      <c r="G16" s="319"/>
    </row>
    <row r="17" ht="63" customHeight="1" spans="1:7">
      <c r="A17" s="340"/>
      <c r="B17" s="356"/>
      <c r="C17" s="368"/>
      <c r="D17" s="369"/>
      <c r="E17" s="357"/>
      <c r="F17" s="357" t="s">
        <v>21</v>
      </c>
      <c r="G17" s="319"/>
    </row>
    <row r="18" ht="117" customHeight="1" spans="1:7">
      <c r="A18" s="340"/>
      <c r="B18" s="360">
        <v>2.02</v>
      </c>
      <c r="C18" s="361" t="s">
        <v>11</v>
      </c>
      <c r="D18" s="362" t="s">
        <v>22</v>
      </c>
      <c r="E18" s="363" t="s">
        <v>23</v>
      </c>
      <c r="F18" s="363" t="s">
        <v>24</v>
      </c>
      <c r="G18" s="319"/>
    </row>
    <row r="19" ht="71.15" customHeight="1" spans="1:7">
      <c r="A19" s="340"/>
      <c r="B19" s="364"/>
      <c r="C19" s="365"/>
      <c r="D19" s="366"/>
      <c r="E19" s="367" t="s">
        <v>25</v>
      </c>
      <c r="F19" s="367" t="s">
        <v>26</v>
      </c>
      <c r="G19" s="319"/>
    </row>
    <row r="20" ht="90.75" customHeight="1" spans="1:7">
      <c r="A20" s="340"/>
      <c r="B20" s="364"/>
      <c r="C20" s="365"/>
      <c r="D20" s="366"/>
      <c r="E20" s="367"/>
      <c r="F20" s="367" t="s">
        <v>27</v>
      </c>
      <c r="G20" s="319"/>
    </row>
    <row r="21" ht="74.25" customHeight="1" spans="1:7">
      <c r="A21" s="340"/>
      <c r="B21" s="356"/>
      <c r="C21" s="368"/>
      <c r="D21" s="369"/>
      <c r="E21" s="357"/>
      <c r="F21" s="357" t="s">
        <v>28</v>
      </c>
      <c r="G21" s="319"/>
    </row>
    <row r="22" ht="90" customHeight="1" spans="1:7">
      <c r="A22" s="340"/>
      <c r="B22" s="370">
        <v>2.03</v>
      </c>
      <c r="C22" s="370" t="s">
        <v>29</v>
      </c>
      <c r="D22" s="371" t="s">
        <v>30</v>
      </c>
      <c r="E22" s="361" t="s">
        <v>31</v>
      </c>
      <c r="F22" s="363" t="s">
        <v>32</v>
      </c>
      <c r="G22" s="319"/>
    </row>
    <row r="23" ht="109.5" customHeight="1" spans="1:7">
      <c r="A23" s="340"/>
      <c r="B23" s="372"/>
      <c r="C23" s="372"/>
      <c r="D23" s="373"/>
      <c r="E23" s="365"/>
      <c r="F23" s="367" t="s">
        <v>33</v>
      </c>
      <c r="G23" s="319"/>
    </row>
    <row r="24" ht="74.25" customHeight="1" spans="1:7">
      <c r="A24" s="340"/>
      <c r="B24" s="374"/>
      <c r="C24" s="374"/>
      <c r="D24" s="375"/>
      <c r="E24" s="368"/>
      <c r="F24" s="357" t="s">
        <v>34</v>
      </c>
      <c r="G24" s="319"/>
    </row>
    <row r="25" ht="72" customHeight="1" spans="1:7">
      <c r="A25" s="340"/>
      <c r="B25" s="356" t="s">
        <v>35</v>
      </c>
      <c r="C25" s="357" t="s">
        <v>36</v>
      </c>
      <c r="D25" s="358" t="s">
        <v>37</v>
      </c>
      <c r="E25" s="357" t="s">
        <v>38</v>
      </c>
      <c r="F25" s="357" t="s">
        <v>39</v>
      </c>
      <c r="G25" s="319"/>
    </row>
    <row r="26" ht="98.15" customHeight="1" spans="1:7">
      <c r="A26" s="340"/>
      <c r="B26" s="376">
        <v>3</v>
      </c>
      <c r="C26" s="360" t="s">
        <v>40</v>
      </c>
      <c r="D26" s="362" t="s">
        <v>41</v>
      </c>
      <c r="E26" s="361" t="s">
        <v>42</v>
      </c>
      <c r="F26" s="363" t="s">
        <v>43</v>
      </c>
      <c r="G26" s="319"/>
    </row>
    <row r="27" ht="90" customHeight="1" spans="1:7">
      <c r="A27" s="340"/>
      <c r="B27" s="377"/>
      <c r="C27" s="364"/>
      <c r="D27" s="366"/>
      <c r="E27" s="365"/>
      <c r="F27" s="367" t="s">
        <v>44</v>
      </c>
      <c r="G27" s="319"/>
    </row>
    <row r="28" ht="19.4" customHeight="1" spans="1:7">
      <c r="A28" s="340"/>
      <c r="B28" s="377"/>
      <c r="C28" s="364"/>
      <c r="D28" s="366"/>
      <c r="E28" s="365"/>
      <c r="F28" s="367" t="s">
        <v>45</v>
      </c>
      <c r="G28" s="319"/>
    </row>
    <row r="29" ht="74.5" customHeight="1" spans="1:7">
      <c r="A29" s="340"/>
      <c r="B29" s="377"/>
      <c r="C29" s="364"/>
      <c r="D29" s="366"/>
      <c r="E29" s="365"/>
      <c r="F29" s="367" t="s">
        <v>46</v>
      </c>
      <c r="G29" s="319"/>
    </row>
    <row r="30" ht="62.5" customHeight="1" spans="1:7">
      <c r="A30" s="340"/>
      <c r="B30" s="377"/>
      <c r="C30" s="364"/>
      <c r="D30" s="366"/>
      <c r="E30" s="365"/>
      <c r="F30" s="367" t="s">
        <v>47</v>
      </c>
      <c r="G30" s="319"/>
    </row>
    <row r="31" ht="81" customHeight="1" spans="1:7">
      <c r="A31" s="340"/>
      <c r="B31" s="377"/>
      <c r="C31" s="364"/>
      <c r="D31" s="366"/>
      <c r="E31" s="365"/>
      <c r="F31" s="367" t="s">
        <v>48</v>
      </c>
      <c r="G31" s="319"/>
    </row>
    <row r="32" ht="48.75" customHeight="1" spans="1:7">
      <c r="A32" s="340"/>
      <c r="B32" s="377"/>
      <c r="C32" s="364"/>
      <c r="D32" s="366"/>
      <c r="E32" s="365"/>
      <c r="F32" s="367" t="s">
        <v>49</v>
      </c>
      <c r="G32" s="319"/>
    </row>
    <row r="33" ht="98.5" customHeight="1" spans="1:7">
      <c r="A33" s="340"/>
      <c r="B33" s="377"/>
      <c r="C33" s="364"/>
      <c r="D33" s="366"/>
      <c r="E33" s="365"/>
      <c r="F33" s="367" t="s">
        <v>50</v>
      </c>
      <c r="G33" s="319"/>
    </row>
    <row r="34" ht="89.15" customHeight="1" spans="1:7">
      <c r="A34" s="340"/>
      <c r="B34" s="377"/>
      <c r="C34" s="364"/>
      <c r="D34" s="366"/>
      <c r="E34" s="365"/>
      <c r="F34" s="367" t="s">
        <v>51</v>
      </c>
      <c r="G34" s="319"/>
    </row>
    <row r="35" ht="29.15" customHeight="1" spans="1:7">
      <c r="A35" s="340"/>
      <c r="B35" s="377"/>
      <c r="C35" s="364"/>
      <c r="D35" s="366"/>
      <c r="E35" s="365"/>
      <c r="F35" s="367" t="s">
        <v>52</v>
      </c>
      <c r="G35" s="319"/>
    </row>
    <row r="36" ht="138" spans="1:7">
      <c r="A36" s="340"/>
      <c r="B36" s="378"/>
      <c r="C36" s="356"/>
      <c r="D36" s="369"/>
      <c r="E36" s="368"/>
      <c r="F36" s="379" t="s">
        <v>53</v>
      </c>
      <c r="G36" s="319"/>
    </row>
    <row r="37" ht="138" spans="1:7">
      <c r="A37" s="340"/>
      <c r="B37" s="378">
        <v>3.01</v>
      </c>
      <c r="C37" s="380" t="s">
        <v>40</v>
      </c>
      <c r="D37" s="358" t="s">
        <v>54</v>
      </c>
      <c r="E37" s="381" t="s">
        <v>55</v>
      </c>
      <c r="F37" s="382" t="s">
        <v>56</v>
      </c>
      <c r="G37" s="319"/>
    </row>
    <row r="38" ht="115" spans="1:7">
      <c r="A38" s="340"/>
      <c r="B38" s="378">
        <v>3.02</v>
      </c>
      <c r="C38" s="380" t="s">
        <v>57</v>
      </c>
      <c r="D38" s="358" t="s">
        <v>58</v>
      </c>
      <c r="E38" s="381" t="s">
        <v>59</v>
      </c>
      <c r="F38" s="382" t="s">
        <v>60</v>
      </c>
      <c r="G38" s="319"/>
    </row>
    <row r="39" ht="103.5" spans="1:7">
      <c r="A39" s="340"/>
      <c r="B39" s="383">
        <v>4</v>
      </c>
      <c r="C39" s="384" t="s">
        <v>61</v>
      </c>
      <c r="D39" s="358" t="s">
        <v>62</v>
      </c>
      <c r="E39" s="357" t="s">
        <v>63</v>
      </c>
      <c r="F39" s="357" t="s">
        <v>64</v>
      </c>
      <c r="G39" s="319"/>
    </row>
    <row r="40" ht="57.5" spans="1:7">
      <c r="A40" s="340"/>
      <c r="B40" s="378">
        <v>4.01</v>
      </c>
      <c r="C40" s="384" t="s">
        <v>61</v>
      </c>
      <c r="D40" s="358" t="s">
        <v>65</v>
      </c>
      <c r="E40" s="357" t="s">
        <v>66</v>
      </c>
      <c r="F40" s="357" t="s">
        <v>67</v>
      </c>
      <c r="G40" s="319"/>
    </row>
    <row r="41" ht="57.5" spans="1:7">
      <c r="A41" s="340"/>
      <c r="B41" s="378" t="s">
        <v>68</v>
      </c>
      <c r="C41" s="384" t="s">
        <v>61</v>
      </c>
      <c r="D41" s="358" t="s">
        <v>69</v>
      </c>
      <c r="E41" s="357" t="s">
        <v>70</v>
      </c>
      <c r="F41" s="357" t="s">
        <v>71</v>
      </c>
      <c r="G41" s="319"/>
    </row>
    <row r="42" ht="57.5" spans="1:7">
      <c r="A42" s="340"/>
      <c r="B42" s="378" t="s">
        <v>72</v>
      </c>
      <c r="C42" s="384" t="s">
        <v>61</v>
      </c>
      <c r="D42" s="358" t="s">
        <v>73</v>
      </c>
      <c r="E42" s="357" t="s">
        <v>38</v>
      </c>
      <c r="F42" s="357" t="s">
        <v>74</v>
      </c>
      <c r="G42" s="319"/>
    </row>
    <row r="43" ht="172.5" spans="1:7">
      <c r="A43" s="340"/>
      <c r="B43" s="385">
        <v>4.1</v>
      </c>
      <c r="C43" s="384" t="s">
        <v>75</v>
      </c>
      <c r="D43" s="386">
        <v>42867</v>
      </c>
      <c r="E43" s="387" t="s">
        <v>76</v>
      </c>
      <c r="F43" s="357" t="s">
        <v>77</v>
      </c>
      <c r="G43" s="319"/>
    </row>
    <row r="44" ht="103.5" spans="1:7">
      <c r="A44" s="340"/>
      <c r="B44" s="385">
        <v>4.2</v>
      </c>
      <c r="C44" s="384" t="s">
        <v>75</v>
      </c>
      <c r="D44" s="386">
        <v>42704</v>
      </c>
      <c r="E44" s="387" t="s">
        <v>78</v>
      </c>
      <c r="F44" s="357" t="s">
        <v>79</v>
      </c>
      <c r="G44" s="319"/>
    </row>
    <row r="45" ht="207" spans="1:7">
      <c r="A45" s="340"/>
      <c r="B45" s="388">
        <v>5</v>
      </c>
      <c r="C45" s="384" t="s">
        <v>75</v>
      </c>
      <c r="D45" s="386">
        <v>42867</v>
      </c>
      <c r="E45" s="387" t="s">
        <v>80</v>
      </c>
      <c r="F45" s="357" t="s">
        <v>81</v>
      </c>
      <c r="G45" s="319"/>
    </row>
    <row r="46" ht="57.5" spans="1:7">
      <c r="A46" s="340"/>
      <c r="B46" s="385">
        <v>5.01</v>
      </c>
      <c r="C46" s="384" t="s">
        <v>75</v>
      </c>
      <c r="D46" s="386">
        <v>42907</v>
      </c>
      <c r="E46" s="387" t="s">
        <v>82</v>
      </c>
      <c r="F46" s="357" t="s">
        <v>81</v>
      </c>
      <c r="G46" s="319"/>
    </row>
    <row r="47" ht="92" spans="1:7">
      <c r="A47" s="340"/>
      <c r="B47" s="385">
        <v>5.1</v>
      </c>
      <c r="C47" s="384" t="s">
        <v>75</v>
      </c>
      <c r="D47" s="386">
        <v>43070</v>
      </c>
      <c r="E47" s="387" t="s">
        <v>83</v>
      </c>
      <c r="F47" s="357" t="s">
        <v>84</v>
      </c>
      <c r="G47" s="319"/>
    </row>
    <row r="48" ht="80.5" spans="1:7">
      <c r="A48" s="340"/>
      <c r="B48" s="385">
        <v>5.11</v>
      </c>
      <c r="C48" s="384" t="s">
        <v>85</v>
      </c>
      <c r="D48" s="386">
        <v>43217</v>
      </c>
      <c r="E48" s="387" t="s">
        <v>86</v>
      </c>
      <c r="F48" s="357" t="s">
        <v>87</v>
      </c>
      <c r="G48" s="319"/>
    </row>
    <row r="49" ht="80.5" spans="1:7">
      <c r="A49" s="340"/>
      <c r="B49" s="385">
        <v>5.12</v>
      </c>
      <c r="C49" s="384" t="s">
        <v>85</v>
      </c>
      <c r="D49" s="386">
        <v>43581</v>
      </c>
      <c r="E49" s="387" t="s">
        <v>86</v>
      </c>
      <c r="F49" s="357" t="s">
        <v>88</v>
      </c>
      <c r="G49" s="319"/>
    </row>
    <row r="50" ht="115" spans="1:7">
      <c r="A50" s="340"/>
      <c r="B50" s="388">
        <v>6</v>
      </c>
      <c r="C50" s="384" t="s">
        <v>85</v>
      </c>
      <c r="D50" s="386">
        <v>43964</v>
      </c>
      <c r="E50" s="387" t="s">
        <v>89</v>
      </c>
      <c r="F50" s="357" t="s">
        <v>90</v>
      </c>
      <c r="G50" s="319"/>
    </row>
    <row r="51" ht="57.5" spans="1:7">
      <c r="A51" s="340"/>
      <c r="B51" s="385">
        <v>6.01</v>
      </c>
      <c r="C51" s="384" t="s">
        <v>85</v>
      </c>
      <c r="D51" s="386">
        <v>43970</v>
      </c>
      <c r="E51" s="387" t="s">
        <v>91</v>
      </c>
      <c r="F51" s="387" t="s">
        <v>90</v>
      </c>
      <c r="G51" s="319"/>
    </row>
    <row r="52" ht="57.5" spans="1:7">
      <c r="A52" s="340"/>
      <c r="B52" s="385">
        <v>6.1</v>
      </c>
      <c r="C52" s="384" t="s">
        <v>85</v>
      </c>
      <c r="D52" s="386">
        <v>44314</v>
      </c>
      <c r="E52" s="387" t="s">
        <v>92</v>
      </c>
      <c r="F52" s="387" t="s">
        <v>93</v>
      </c>
      <c r="G52" s="319"/>
    </row>
    <row r="53" ht="57.5" spans="1:7">
      <c r="A53" s="340"/>
      <c r="B53" s="385">
        <v>6.2</v>
      </c>
      <c r="C53" s="384" t="s">
        <v>85</v>
      </c>
      <c r="D53" s="386">
        <v>44678</v>
      </c>
      <c r="E53" s="387" t="s">
        <v>92</v>
      </c>
      <c r="F53" s="387" t="s">
        <v>94</v>
      </c>
      <c r="G53" s="319"/>
    </row>
    <row r="54" ht="57.5" spans="1:7">
      <c r="A54" s="340"/>
      <c r="B54" s="385">
        <v>6.21</v>
      </c>
      <c r="C54" s="384" t="s">
        <v>85</v>
      </c>
      <c r="D54" s="386">
        <v>44687</v>
      </c>
      <c r="E54" s="387" t="s">
        <v>95</v>
      </c>
      <c r="F54" s="387" t="s">
        <v>94</v>
      </c>
      <c r="G54" s="319"/>
    </row>
    <row r="55" ht="57.5" spans="1:7">
      <c r="A55" s="340"/>
      <c r="B55" s="385">
        <v>6.22</v>
      </c>
      <c r="C55" s="384" t="s">
        <v>85</v>
      </c>
      <c r="D55" s="389">
        <v>44692</v>
      </c>
      <c r="E55" s="387" t="s">
        <v>91</v>
      </c>
      <c r="F55" s="387" t="s">
        <v>94</v>
      </c>
      <c r="G55" s="319"/>
    </row>
    <row r="56" ht="80.5" spans="1:7">
      <c r="A56" s="340"/>
      <c r="B56" s="388">
        <v>6.3</v>
      </c>
      <c r="C56" s="384" t="s">
        <v>85</v>
      </c>
      <c r="D56" s="389">
        <v>45051</v>
      </c>
      <c r="E56" s="387" t="s">
        <v>96</v>
      </c>
      <c r="F56" s="387" t="s">
        <v>97</v>
      </c>
      <c r="G56" s="319"/>
    </row>
    <row r="57" ht="57.5" spans="1:7">
      <c r="A57" s="340"/>
      <c r="B57" s="385">
        <v>6.31</v>
      </c>
      <c r="C57" s="384" t="s">
        <v>85</v>
      </c>
      <c r="D57" s="389">
        <v>45072</v>
      </c>
      <c r="E57" s="387" t="s">
        <v>98</v>
      </c>
      <c r="F57" s="387" t="s">
        <v>97</v>
      </c>
      <c r="G57" s="319"/>
    </row>
    <row r="58" ht="57.5" spans="1:7">
      <c r="A58" s="340"/>
      <c r="B58" s="388">
        <v>6.4</v>
      </c>
      <c r="C58" s="384" t="s">
        <v>85</v>
      </c>
      <c r="D58" s="389">
        <v>45408</v>
      </c>
      <c r="E58" s="387" t="s">
        <v>99</v>
      </c>
      <c r="F58" s="387" t="s">
        <v>100</v>
      </c>
      <c r="G58" s="319"/>
    </row>
    <row r="59" ht="57.5" spans="1:7">
      <c r="A59" s="340"/>
      <c r="B59" s="388">
        <v>6.5</v>
      </c>
      <c r="C59" s="384" t="s">
        <v>85</v>
      </c>
      <c r="D59" s="389">
        <v>45772</v>
      </c>
      <c r="E59" s="387" t="s">
        <v>101</v>
      </c>
      <c r="F59" s="387" t="s">
        <v>102</v>
      </c>
      <c r="G59" s="319"/>
    </row>
    <row r="60" ht="80.5" spans="1:7">
      <c r="A60" s="340"/>
      <c r="B60" s="388">
        <v>6.6</v>
      </c>
      <c r="C60" s="384" t="s">
        <v>85</v>
      </c>
      <c r="D60" s="389">
        <v>46129</v>
      </c>
      <c r="E60" s="387" t="s">
        <v>103</v>
      </c>
      <c r="F60" s="390" t="s">
        <v>104</v>
      </c>
      <c r="G60" s="319"/>
    </row>
    <row r="61" ht="14.25" spans="1:7">
      <c r="A61" s="391"/>
      <c r="B61" s="392" t="str">
        <f ca="1">OFFSET(L!$C$1,MATCH("General"&amp;"Cpy",L!$A:$A,0)-1,SL,,)</f>
        <v>© 2026 Responsible Minerals Initiative. All rights reserved.</v>
      </c>
      <c r="C61" s="392"/>
      <c r="D61" s="392"/>
      <c r="E61" s="392"/>
      <c r="F61" s="392"/>
      <c r="G61" s="324"/>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5" t="str">
        <f ca="1">OFFSET(L!$C$1,MATCH("Instructions"&amp;ADDRESS(ROW(),COLUMN(),4),L!$A:$A,0)-1,SL,,)</f>
        <v>RMI website: (www.responsiblemineralsinitiative.org)
Training and guidance, template, Responsible Minerals Assurance Process conformant smelter list.</v>
      </c>
      <c r="B1" s="176" t="s">
        <v>105</v>
      </c>
    </row>
    <row r="2" ht="30" spans="1:2">
      <c r="A2" s="326" t="str">
        <f ca="1">OFFSET(L!$C$1,MATCH("Instructions"&amp;ADDRESS(ROW(),COLUMN(),4),L!$A:$A,0)-1,SL,,)</f>
        <v>Introduction</v>
      </c>
      <c r="B2" s="176" t="s">
        <v>106</v>
      </c>
    </row>
    <row r="3" ht="150" spans="1:2">
      <c r="A3" s="327"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6" t="s">
        <v>107</v>
      </c>
    </row>
    <row r="4" ht="222.65" customHeight="1" spans="1:2">
      <c r="A4" s="327"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6" t="s">
        <v>108</v>
      </c>
    </row>
    <row r="5" ht="15" spans="1:2">
      <c r="A5" s="328"/>
      <c r="B5" s="176"/>
    </row>
    <row r="6" ht="30" spans="1:2">
      <c r="A6" s="326" t="str">
        <f ca="1">OFFSET(L!$C$1,MATCH("Instructions"&amp;ADDRESS(ROW(),COLUMN(),4),L!$A:$A,0)-1,SL,,)</f>
        <v>Instructions for completing Company Information questions (rows 8 - 22).
Provide comments in ENGLISH only</v>
      </c>
      <c r="B6" s="176" t="s">
        <v>106</v>
      </c>
    </row>
    <row r="7" ht="15" spans="1:2">
      <c r="A7" s="329" t="str">
        <f ca="1">OFFSET(L!$C$1,MATCH("Instructions"&amp;ADDRESS(ROW(),COLUMN(),4),L!$A:$A,0)-1,SL,,)</f>
        <v>Note:  Entries with (*) are mandatory fields. </v>
      </c>
      <c r="B7" s="176"/>
    </row>
    <row r="8" ht="30" spans="1:2">
      <c r="A8" s="327" t="str">
        <f ca="1">OFFSET(L!$C$1,MATCH("Instructions"&amp;ADDRESS(ROW(),COLUMN(),4),L!$A:$A,0)-1,SL,,)</f>
        <v>1. Insert your company's Legal Name.  Please do not use abbreviations. In this field you have the option to add other commercial names, DBAs, etc.</v>
      </c>
      <c r="B8" s="176"/>
    </row>
    <row r="9" ht="405.65" customHeight="1" spans="1:2">
      <c r="A9" s="3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6" t="s">
        <v>105</v>
      </c>
    </row>
    <row r="10" ht="36" customHeight="1" spans="1:2">
      <c r="A10" s="327" t="str">
        <f ca="1">OFFSET(L!$C$1,MATCH("Instructions"&amp;ADDRESS(ROW(),COLUMN(),4),L!$A:$A,0)-1,SL,,)</f>
        <v>3. Insert your company’s unique identifier number or code (DUNS number, VAT number, customer-specific identifier, etc.)</v>
      </c>
      <c r="B10" s="176"/>
    </row>
    <row r="11" ht="35.25" customHeight="1" spans="1:2">
      <c r="A11" s="327" t="str">
        <f ca="1">OFFSET(L!$C$1,MATCH("Instructions"&amp;ADDRESS(ROW(),COLUMN(),4),L!$A:$A,0)-1,SL,,)</f>
        <v>4. Insert the source for the unique identifier number or code ("DUNS", "VAT", "Customer", etc).  </v>
      </c>
      <c r="B11" s="176"/>
    </row>
    <row r="12" ht="30" spans="1:2">
      <c r="A12" s="327" t="str">
        <f ca="1">OFFSET(L!$C$1,MATCH("Instructions"&amp;ADDRESS(ROW(),COLUMN(),4),L!$A:$A,0)-1,SL,,)</f>
        <v>5. Insert your full company address (street, city, state, country, postal code).  This field is optional.</v>
      </c>
      <c r="B12" s="176" t="s">
        <v>106</v>
      </c>
    </row>
    <row r="13" ht="33.75" customHeight="1" spans="1:2">
      <c r="A13" s="327" t="str">
        <f ca="1">OFFSET(L!$C$1,MATCH("Instructions"&amp;ADDRESS(ROW(),COLUMN(),4),L!$A:$A,0)-1,SL,,)</f>
        <v>6. Insert the name of the person to contact regarding the contents of the declaration information. This field is mandatory.</v>
      </c>
      <c r="B13" s="176"/>
    </row>
    <row r="14" ht="30" spans="1:2">
      <c r="A14" s="327" t="str">
        <f ca="1">OFFSET(L!$C$1,MATCH("Instructions"&amp;ADDRESS(ROW(),COLUMN(),4),L!$A:$A,0)-1,SL,,)</f>
        <v>7. Insert the email address of the contact person.  If an email address is not available, state ‘‘not available’’ or ‘‘n/a.’’ A blank field may cause an error in form implementation.  This field is mandatory.</v>
      </c>
      <c r="B14" s="176"/>
    </row>
    <row r="15" ht="25.5" customHeight="1" spans="1:2">
      <c r="A15" s="327" t="str">
        <f ca="1">OFFSET(L!$C$1,MATCH("Instructions"&amp;ADDRESS(ROW(),COLUMN(),4),L!$A:$A,0)-1,SL,,)</f>
        <v>8. Insert the telephone number for the contact. This field is mandatory.</v>
      </c>
      <c r="B15" s="176"/>
    </row>
    <row r="16" ht="45" spans="1:2">
      <c r="A16" s="327"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6"/>
    </row>
    <row r="17" ht="15" spans="1:2">
      <c r="A17" s="327" t="str">
        <f ca="1">OFFSET(L!$C$1,MATCH("Instructions"&amp;ADDRESS(ROW(),COLUMN(),4),L!$A:$A,0)-1,SL,,)</f>
        <v>10. Insert the title for the Authorizing person. This field is optional.</v>
      </c>
      <c r="B17" s="176"/>
    </row>
    <row r="18" ht="30" spans="1:2">
      <c r="A18" s="327" t="str">
        <f ca="1">OFFSET(L!$C$1,MATCH("Instructions"&amp;ADDRESS(ROW(),COLUMN(),4),L!$A:$A,0)-1,SL,,)</f>
        <v>11. Insert the email address of the Authorizing person.  If an email address is not available, state ‘‘not available’’ or ‘‘n/a.’’ A blank field may cause an error in form implementation.  This field is mandatory.</v>
      </c>
      <c r="B18" s="176"/>
    </row>
    <row r="19" ht="15" spans="1:2">
      <c r="A19" s="327" t="str">
        <f ca="1">OFFSET(L!$C$1,MATCH("Instructions"&amp;ADDRESS(ROW(),COLUMN(),4),L!$A:$A,0)-1,SL,,)</f>
        <v>12. Insert the telephone number for the Authorizing person. This field is optional.</v>
      </c>
      <c r="B19" s="176"/>
    </row>
    <row r="20" ht="33.75" customHeight="1" spans="1:2">
      <c r="A20" s="327" t="str">
        <f ca="1">OFFSET(L!$C$1,MATCH("Instructions"&amp;ADDRESS(ROW(),COLUMN(),4),L!$A:$A,0)-1,SL,,)</f>
        <v>13. Please enter the Date of Completion for this form using the format DD-MMM-YYYY.  This field is mandatory.</v>
      </c>
      <c r="B20" s="176"/>
    </row>
    <row r="21" ht="30" spans="1:2">
      <c r="A21" s="327" t="str">
        <f ca="1">OFFSET(L!$C$1,MATCH("Instructions"&amp;ADDRESS(ROW(),COLUMN(),4),L!$A:$A,0)-1,SL,,)</f>
        <v>14. As an example, the user may save the file name as:  companyname-date.xls (date as YYYY-MM-DD).  </v>
      </c>
      <c r="B21" s="176" t="s">
        <v>106</v>
      </c>
    </row>
    <row r="22" ht="15" spans="1:2">
      <c r="A22" s="328"/>
      <c r="B22" s="176"/>
    </row>
    <row r="23" ht="30" spans="1:2">
      <c r="A23" s="326" t="str">
        <f ca="1">OFFSET(L!$C$1,MATCH("Instructions"&amp;ADDRESS(ROW(),COLUMN(),4),L!$A:$A,0)-1,SL,,)</f>
        <v>Instructions for completing the eight Due Diligence Questions (rows 24 - 71).
Provide answers in ENGLISH only</v>
      </c>
      <c r="B23" s="176" t="s">
        <v>106</v>
      </c>
    </row>
    <row r="24" ht="80.5" customHeight="1" spans="1:2">
      <c r="A24" s="327"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6" t="s">
        <v>109</v>
      </c>
    </row>
    <row r="25" ht="72" customHeight="1" spans="1:2">
      <c r="A25" s="327"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6" t="s">
        <v>106</v>
      </c>
    </row>
    <row r="26" ht="280.75" customHeight="1" spans="1:2">
      <c r="A26" s="327"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6" t="s">
        <v>106</v>
      </c>
    </row>
    <row r="27" ht="30" spans="1:2">
      <c r="A27" s="327" t="str">
        <f ca="1">OFFSET(L!$C$1,MATCH("Instructions"&amp;ADDRESS(ROW(),COLUMN(),4),L!$A:$A,0)-1,SL,,)</f>
        <v>Some companies may require substantiation for a "No" answer that should be entered into the Comment Field.</v>
      </c>
      <c r="B27" s="176" t="s">
        <v>106</v>
      </c>
    </row>
    <row r="28" ht="247.5" customHeight="1" spans="1:2">
      <c r="A28" s="327"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6"/>
    </row>
    <row r="29" ht="157.4" customHeight="1" spans="1:2">
      <c r="A29" s="327"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6" t="s">
        <v>106</v>
      </c>
    </row>
    <row r="30" ht="181.75" customHeight="1" spans="1:2">
      <c r="A30" s="327"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6"/>
    </row>
    <row r="31" ht="135" spans="1:2">
      <c r="A31" s="327"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6" t="s">
        <v>106</v>
      </c>
    </row>
    <row r="32" ht="234.65" customHeight="1" spans="1:2">
      <c r="A32" s="327"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6" t="s">
        <v>109</v>
      </c>
    </row>
    <row r="33" ht="75" spans="1:2">
      <c r="A33" s="327"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6"/>
    </row>
    <row r="34" ht="60" spans="1:2">
      <c r="A34" s="327"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6" t="s">
        <v>106</v>
      </c>
    </row>
    <row r="35" ht="21" customHeight="1" spans="1:2">
      <c r="A35" s="327" t="str">
        <f ca="1">OFFSET(L!$C$1,MATCH("Instructions"&amp;ADDRESS(ROW(),COLUMN(),4),L!$A:$A,0)-1,SL,,)</f>
        <v>Provide comments in the Comment sections as required to clarify your responses.</v>
      </c>
      <c r="B35" s="176"/>
    </row>
    <row r="36" ht="15" spans="1:2">
      <c r="A36" s="328"/>
      <c r="B36" s="176"/>
    </row>
    <row r="37" ht="45" spans="1:2">
      <c r="A37" s="326" t="str">
        <f ca="1">OFFSET(L!$C$1,MATCH("Instructions"&amp;ADDRESS(ROW(),COLUMN(),4),L!$A:$A,0)-1,SL,,)</f>
        <v>Instructions for completing Questions A. – H. (rows 75 - 89).  Questions A. through H. are mandatory if the both of responses to Question 1 and 2 are “Yes” for any metal.
Provide answers in ENGLISH only</v>
      </c>
      <c r="B37" s="176" t="s">
        <v>106</v>
      </c>
    </row>
    <row r="38" ht="135" spans="1:2">
      <c r="A38" s="32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6" t="s">
        <v>110</v>
      </c>
    </row>
    <row r="39" ht="60" spans="1:2">
      <c r="A39" s="327"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6"/>
    </row>
    <row r="40" ht="65.5" customHeight="1" spans="1:2">
      <c r="A40" s="327"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6"/>
    </row>
    <row r="41" ht="75" spans="1:2">
      <c r="A41" s="327"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6" t="s">
        <v>111</v>
      </c>
    </row>
    <row r="42" ht="150" spans="1:2">
      <c r="A42" s="327"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6" t="s">
        <v>109</v>
      </c>
    </row>
    <row r="43" ht="150" spans="1:2">
      <c r="A43" s="327"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6" t="s">
        <v>112</v>
      </c>
    </row>
    <row r="44" ht="120" spans="1:2">
      <c r="A44" s="3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6" t="s">
        <v>106</v>
      </c>
    </row>
    <row r="45" ht="120" spans="1:2">
      <c r="A45" s="3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6" t="s">
        <v>107</v>
      </c>
    </row>
    <row r="46" ht="85.5" customHeight="1" spans="1:2">
      <c r="A46" s="327"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6" t="s">
        <v>106</v>
      </c>
    </row>
    <row r="47" ht="15" spans="1:2">
      <c r="A47" s="328"/>
      <c r="B47" s="176"/>
    </row>
    <row r="48" ht="30" spans="1:2">
      <c r="A48" s="326" t="str">
        <f ca="1">OFFSET(L!$C$1,MATCH("Instructions"&amp;ADDRESS(ROW(),COLUMN(),4),L!$A:$A,0)-1,SL,,)</f>
        <v>Instructions for completing the Smelter List Tab.
Provide answers in ENGLISH only</v>
      </c>
      <c r="B48" s="176" t="s">
        <v>106</v>
      </c>
    </row>
    <row r="49" ht="22.5" customHeight="1" spans="1:2">
      <c r="A49" s="329" t="str">
        <f ca="1">OFFSET(L!$C$1,MATCH("Instructions"&amp;ADDRESS(ROW(),COLUMN(),4),L!$A:$A,0)-1,SL,,)</f>
        <v>Note:  Columns with (*) are mandatory fields</v>
      </c>
      <c r="B49" s="176"/>
    </row>
    <row r="50" ht="60" spans="1:2">
      <c r="A50" s="327"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6" t="s">
        <v>105</v>
      </c>
    </row>
    <row r="51" ht="51" customHeight="1" spans="1:2">
      <c r="A51" s="327" t="str">
        <f ca="1">OFFSET(L!$C$1,MATCH("Instructions"&amp;ADDRESS(ROW(),COLUMN(),4),L!$A:$A,0)-1,SL,,)</f>
        <v>1. Smelter Identification Input Column - If you know the Smelter Identification Number, input the number in Column A (columns B, C, E, F, G, I, and J will auto-populate).  Column A does not autopopulate.</v>
      </c>
      <c r="B51" s="176" t="s">
        <v>106</v>
      </c>
    </row>
    <row r="52" ht="44.5" customHeight="1" spans="1:2">
      <c r="A52" s="327" t="str">
        <f ca="1">OFFSET(L!$C$1,MATCH("Instructions"&amp;ADDRESS(ROW(),COLUMN(),4),L!$A:$A,0)-1,SL,,)</f>
        <v>2. Metal (*)   -   Use the pull down menu to select the metal for which you are entering smelter information.  This field is mandatory.</v>
      </c>
      <c r="B52" s="176"/>
    </row>
    <row r="53" ht="79" customHeight="1" spans="1:2">
      <c r="A53" s="33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6" t="s">
        <v>106</v>
      </c>
    </row>
    <row r="54" ht="60" spans="1:2">
      <c r="A54" s="327" t="str">
        <f ca="1">OFFSET(L!$C$1,MATCH("Instructions"&amp;ADDRESS(ROW(),COLUMN(),4),L!$A:$A,0)-1,SL,,)</f>
        <v>4. Smelter Name (1)- Fill in smelter name if you selected "Smelter Not Listed" in column C.  This field will auto-populate when a smelter name in selected in Column C.  This field is mandatory.</v>
      </c>
      <c r="B54" s="176" t="s">
        <v>105</v>
      </c>
    </row>
    <row r="55" ht="75" spans="1:2">
      <c r="A55" s="3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6" t="s">
        <v>111</v>
      </c>
    </row>
    <row r="56" ht="60" spans="1:2">
      <c r="A56" s="3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6" t="s">
        <v>105</v>
      </c>
    </row>
    <row r="57" ht="60" spans="1:2">
      <c r="A57" s="3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6" t="s">
        <v>105</v>
      </c>
    </row>
    <row r="58" ht="60" spans="1:2">
      <c r="A58" s="327" t="str">
        <f ca="1">OFFSET(L!$C$1,MATCH("Instructions"&amp;ADDRESS(ROW(),COLUMN(),4),L!$A:$A,0)-1,SL,,)</f>
        <v>8. Smelter Street -  Provide the street name on which the smelter is located. This field is optional.</v>
      </c>
      <c r="B58" s="176" t="s">
        <v>105</v>
      </c>
    </row>
    <row r="59" ht="30" spans="1:2">
      <c r="A59" s="327" t="str">
        <f ca="1">OFFSET(L!$C$1,MATCH("Instructions"&amp;ADDRESS(ROW(),COLUMN(),4),L!$A:$A,0)-1,SL,,)</f>
        <v>9. Smelter City – Provide the city name of where the smelter is located. This field is optional.</v>
      </c>
      <c r="B59" s="176" t="s">
        <v>106</v>
      </c>
    </row>
    <row r="60" ht="45" customHeight="1" spans="1:2">
      <c r="A60" s="327" t="str">
        <f ca="1">OFFSET(L!$C$1,MATCH("Instructions"&amp;ADDRESS(ROW(),COLUMN(),4),L!$A:$A,0)-1,SL,,)</f>
        <v>10. Smelter Location: State/Province, if applicable – Provide the state or province where the smelter is located. This field is optional.</v>
      </c>
      <c r="B60" s="176" t="s">
        <v>109</v>
      </c>
    </row>
    <row r="61" ht="150" spans="1:2">
      <c r="A61" s="327"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6" t="s">
        <v>109</v>
      </c>
    </row>
    <row r="62" ht="60" spans="1:2">
      <c r="A62" s="3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6" t="s">
        <v>105</v>
      </c>
    </row>
    <row r="63" ht="125.5" customHeight="1" spans="1:2">
      <c r="A63" s="3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6" t="s">
        <v>105</v>
      </c>
    </row>
    <row r="64" ht="136.4" customHeight="1" spans="1:2">
      <c r="A64" s="3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6"/>
    </row>
    <row r="65" ht="90" spans="1:2">
      <c r="A65" s="327"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6"/>
    </row>
    <row r="66" ht="110.25" customHeight="1" spans="1:2">
      <c r="A66" s="327" t="str">
        <f ca="1">OFFSET(L!$C$1,MATCH("Instructions"&amp;ADDRESS(ROW(),COLUMN(),4),L!$A:$A,0)-1,SL,,)</f>
        <v>16. Comments – free form text field to enter any comments concerning the smelter.  Example: smelter is being acquired by Company YYY</v>
      </c>
      <c r="B66" s="176"/>
    </row>
    <row r="67" ht="15" spans="1:2">
      <c r="A67" s="332"/>
      <c r="B67" s="176"/>
    </row>
    <row r="68" ht="34.5" customHeight="1" spans="1:2">
      <c r="A68" s="326" t="str">
        <f ca="1">OFFSET(L!$C$1,MATCH("Instructions"&amp;ADDRESS(ROW(),COLUMN(),4),L!$A:$A,0)-1,SL,,)</f>
        <v>TERMS AND CONDITIONS</v>
      </c>
      <c r="B68" s="176"/>
    </row>
    <row r="69" ht="15" spans="1:2">
      <c r="A69" s="332"/>
      <c r="B69" s="176"/>
    </row>
    <row r="70" ht="80.5" customHeight="1" spans="1:2">
      <c r="A70" s="326"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6" t="s">
        <v>106</v>
      </c>
    </row>
    <row r="71" ht="93.65" customHeight="1" spans="1:2">
      <c r="A71" s="329"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6" t="s">
        <v>113</v>
      </c>
    </row>
    <row r="72" ht="155.5" customHeight="1" spans="1:2">
      <c r="A72" s="329"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6" t="s">
        <v>112</v>
      </c>
    </row>
    <row r="73" ht="75" spans="1:2">
      <c r="A73" s="329"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6" t="s">
        <v>111</v>
      </c>
    </row>
    <row r="74" ht="30" spans="1:2">
      <c r="A74" s="327"/>
      <c r="B74" s="176" t="s">
        <v>106</v>
      </c>
    </row>
    <row r="75" ht="15" spans="1:2">
      <c r="A75" s="327" t="str">
        <f ca="1">OFFSET(L!$C$1,MATCH("General"&amp;"Cpy",L!$A:$A,0)-1,SL,,)</f>
        <v>© 2026 Responsible Minerals Initiative. All rights reserved.</v>
      </c>
      <c r="B75" s="310"/>
    </row>
    <row r="76" ht="15" spans="1:2">
      <c r="A76" s="333" t="s">
        <v>114</v>
      </c>
      <c r="B76" s="310"/>
    </row>
    <row r="77" ht="15" spans="1:2">
      <c r="A77" s="334"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4"/>
      <c r="B1" s="315"/>
      <c r="C1" s="315"/>
      <c r="D1" s="316"/>
    </row>
    <row r="2" ht="71.25" customHeight="1" spans="1:5">
      <c r="A2" s="317"/>
      <c r="B2" s="318" t="str">
        <f ca="1">OFFSET(L!$C$1,MATCH("Definitions"&amp;ADDRESS(ROW(),COLUMN(),4),L!$A:$A,0)-1,SL,,)</f>
        <v>ITEM</v>
      </c>
      <c r="C2" s="318" t="str">
        <f ca="1">OFFSET(L!$C$1,MATCH("Definitions"&amp;ADDRESS(ROW(),COLUMN(),4),L!$A:$A,0)-1,SL,,)</f>
        <v>DEFINITION</v>
      </c>
      <c r="D2" s="319"/>
      <c r="E2" s="310"/>
    </row>
    <row r="3" ht="64" customHeight="1" spans="1:5">
      <c r="A3" s="317"/>
      <c r="B3" s="320" t="str">
        <f ca="1">OFFSET(L!$C$1,MATCH("Definitions"&amp;ADDRESS(ROW(),COLUMN(),4),L!$A:$A,0)-1,SL,,)</f>
        <v>3TG</v>
      </c>
      <c r="C3" s="320" t="str">
        <f ca="1">OFFSET(L!$C$1,MATCH("Definitions"&amp;ADDRESS(ROW(),COLUMN(),4),L!$A:$A,0)-1,SL,,)</f>
        <v>Tantalum, tin, tungsten, gold</v>
      </c>
      <c r="D3" s="319"/>
      <c r="E3" s="176" t="s">
        <v>109</v>
      </c>
    </row>
    <row r="4" ht="63.75" customHeight="1" spans="1:5">
      <c r="A4" s="317"/>
      <c r="B4" s="320" t="str">
        <f ca="1">OFFSET(L!$C$1,MATCH("Definitions"&amp;ADDRESS(ROW(),COLUMN(),4),L!$A:$A,0)-1,SL,,)</f>
        <v>Authorizer</v>
      </c>
      <c r="C4" s="32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9"/>
      <c r="E4" s="176"/>
    </row>
    <row r="5" ht="60" spans="1:5">
      <c r="A5" s="317"/>
      <c r="B5" s="320" t="str">
        <f ca="1">OFFSET(L!$C$1,MATCH("Definitions"&amp;ADDRESS(ROW(),COLUMN(),4),L!$A:$A,0)-1,SL,,)</f>
        <v>Conflict-Affected and High-Risk Area (CAHRA)</v>
      </c>
      <c r="C5" s="32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9"/>
      <c r="E5" s="176"/>
    </row>
    <row r="6" ht="151.4" customHeight="1" spans="1:5">
      <c r="A6" s="317"/>
      <c r="B6" s="320" t="str">
        <f ca="1">OFFSET(L!$C$1,MATCH("Definitions"&amp;ADDRESS(ROW(),COLUMN(),4),L!$A:$A,0)-1,SL,,)</f>
        <v>Conflict Mineral</v>
      </c>
      <c r="C6" s="32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9"/>
      <c r="E6" s="176" t="s">
        <v>105</v>
      </c>
    </row>
    <row r="7" ht="105.65" customHeight="1" spans="1:5">
      <c r="A7" s="317"/>
      <c r="B7" s="320" t="str">
        <f ca="1">OFFSET(L!$C$1,MATCH("Definitions"&amp;ADDRESS(ROW(),COLUMN(),4),L!$A:$A,0)-1,SL,,)</f>
        <v>Covered Country(ies)</v>
      </c>
      <c r="C7" s="320"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9"/>
      <c r="E7" s="176" t="s">
        <v>105</v>
      </c>
    </row>
    <row r="8" ht="135" spans="1:5">
      <c r="A8" s="317"/>
      <c r="B8" s="320" t="str">
        <f ca="1">OFFSET(L!$C$1,MATCH("Definitions"&amp;ADDRESS(ROW(),COLUMN(),4),L!$A:$A,0)-1,SL,,)</f>
        <v>Declaration Scope or Class</v>
      </c>
      <c r="C8" s="32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9"/>
      <c r="E8" s="176" t="s">
        <v>110</v>
      </c>
    </row>
    <row r="9" ht="60" spans="1:5">
      <c r="A9" s="317"/>
      <c r="B9" s="320" t="str">
        <f ca="1">OFFSET(L!$C$1,MATCH("Definitions"&amp;ADDRESS(ROW(),COLUMN(),4),L!$A:$A,0)-1,SL,,)</f>
        <v>Dodd-Frank</v>
      </c>
      <c r="C9" s="320" t="str">
        <f ca="1">OFFSET(L!$C$1,MATCH("Definitions"&amp;ADDRESS(ROW(),COLUMN(),4),L!$A:$A,0)-1,SL,,)</f>
        <v>2010 United States legislation, Dodd-Frank Wall Street Reform and Consumer Protection Act, Section 1502 (“Dodd-Frank”) (http://www.sec.gov/about/laws/wallstreetreform-cpa.pdf)</v>
      </c>
      <c r="D9" s="319"/>
      <c r="E9" s="176" t="s">
        <v>105</v>
      </c>
    </row>
    <row r="10" ht="45" spans="1:5">
      <c r="A10" s="317"/>
      <c r="B10" s="320" t="str">
        <f ca="1">OFFSET(L!$C$1,MATCH("Definitions"&amp;ADDRESS(ROW(),COLUMN(),4),L!$A:$A,0)-1,SL,,)</f>
        <v>DRC</v>
      </c>
      <c r="C10" s="320" t="str">
        <f ca="1">OFFSET(L!$C$1,MATCH("Definitions"&amp;ADDRESS(ROW(),COLUMN(),4),L!$A:$A,0)-1,SL,,)</f>
        <v>Democratic Republic of Congo</v>
      </c>
      <c r="D10" s="319"/>
      <c r="E10" s="176" t="s">
        <v>109</v>
      </c>
    </row>
    <row r="11" ht="60" hidden="1" spans="1:5">
      <c r="A11" s="317"/>
      <c r="B11" s="320" t="str">
        <f ca="1">OFFSET(L!$C$1,MATCH("Definitions"&amp;ADDRESS(ROW(),COLUMN(),4),L!$A:$A,0)-1,SL,,)</f>
        <v>DRC conflict-free</v>
      </c>
      <c r="C11" s="32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9"/>
      <c r="E11" s="176" t="s">
        <v>109</v>
      </c>
    </row>
    <row r="12" ht="60" spans="1:5">
      <c r="A12" s="317"/>
      <c r="B12" s="320" t="str">
        <f ca="1">OFFSET(L!$C$1,MATCH("Definitions"&amp;ADDRESS(ROW(),COLUMN(),4),L!$A:$A,0)-1,SL,,)</f>
        <v>Gold (Au) refiner (smelter)</v>
      </c>
      <c r="C12" s="32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9"/>
      <c r="E12" s="176" t="s">
        <v>109</v>
      </c>
    </row>
    <row r="13" ht="107.25" customHeight="1" spans="1:5">
      <c r="A13" s="317"/>
      <c r="B13" s="320" t="str">
        <f ca="1">OFFSET(L!$C$1,MATCH("Definitions"&amp;ADDRESS(ROW(),COLUMN(),4),L!$A:$A,0)-1,SL,,)</f>
        <v>Independent Third-Party Assessment Firm</v>
      </c>
      <c r="C13" s="32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9"/>
      <c r="E13" s="176" t="s">
        <v>111</v>
      </c>
    </row>
    <row r="14" ht="270" spans="1:5">
      <c r="A14" s="317"/>
      <c r="B14" s="320" t="str">
        <f ca="1">OFFSET(L!$C$1,MATCH("Definitions"&amp;ADDRESS(ROW(),COLUMN(),4),L!$A:$A,0)-1,SL,,)</f>
        <v>Intentionally added</v>
      </c>
      <c r="C14" s="32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9"/>
      <c r="E14" s="176" t="s">
        <v>109</v>
      </c>
    </row>
    <row r="15" ht="120" spans="1:5">
      <c r="A15" s="317"/>
      <c r="B15" s="320" t="str">
        <f ca="1">OFFSET(L!$C$1,MATCH("Definitions"&amp;ADDRESS(ROW(),COLUMN(),4),L!$A:$A,0)-1,SL,,)</f>
        <v>IPC</v>
      </c>
      <c r="C15" s="32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9"/>
      <c r="E15" s="176" t="s">
        <v>109</v>
      </c>
    </row>
    <row r="16" ht="60" spans="1:5">
      <c r="A16" s="317"/>
      <c r="B16" s="320" t="str">
        <f ca="1">OFFSET(L!$C$1,MATCH("Definitions"&amp;ADDRESS(ROW(),COLUMN(),4),L!$A:$A,0)-1,SL,,)</f>
        <v>IPC-1755 Responsible Sourcing of Minerals Data Exchange Standard</v>
      </c>
      <c r="C16" s="320"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9"/>
      <c r="E16" s="176" t="s">
        <v>109</v>
      </c>
    </row>
    <row r="17" ht="165" spans="1:5">
      <c r="A17" s="317"/>
      <c r="B17" s="320" t="str">
        <f ca="1">OFFSET(L!$C$1,MATCH("Definitions"&amp;ADDRESS(ROW(),COLUMN(),4),L!$A:$A,0)-1,SL,,)</f>
        <v>Necessary for the Functionality of a Product</v>
      </c>
      <c r="C17" s="32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9"/>
      <c r="E17" s="176" t="s">
        <v>109</v>
      </c>
    </row>
    <row r="18" ht="150" spans="1:5">
      <c r="A18" s="317"/>
      <c r="B18" s="320" t="str">
        <f ca="1">OFFSET(L!$C$1,MATCH("Definitions"&amp;ADDRESS(ROW(),COLUMN(),4),L!$A:$A,0)-1,SL,,)</f>
        <v>Necessary for the Production of a Product</v>
      </c>
      <c r="C18" s="320"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9"/>
      <c r="E18" s="176" t="s">
        <v>109</v>
      </c>
    </row>
    <row r="19" ht="15" spans="1:5">
      <c r="A19" s="317"/>
      <c r="B19" s="320" t="str">
        <f ca="1">OFFSET(L!$C$1,MATCH("Definitions"&amp;ADDRESS(ROW(),COLUMN(),4),L!$A:$A,0)-1,SL,,)</f>
        <v>OECD</v>
      </c>
      <c r="C19" s="320" t="str">
        <f ca="1">OFFSET(L!$C$1,MATCH("Definitions"&amp;ADDRESS(ROW(),COLUMN(),4),L!$A:$A,0)-1,SL,,)</f>
        <v>Organisation for Economic Co-operation and Development</v>
      </c>
      <c r="D19" s="319"/>
      <c r="E19" s="176"/>
    </row>
    <row r="20" ht="30" spans="1:5">
      <c r="A20" s="317"/>
      <c r="B20" s="320" t="str">
        <f ca="1">OFFSET(L!$C$1,MATCH("Definitions"&amp;ADDRESS(ROW(),COLUMN(),4),L!$A:$A,0)-1,SL,,)</f>
        <v>Product</v>
      </c>
      <c r="C20" s="320" t="str">
        <f ca="1">OFFSET(L!$C$1,MATCH("Definitions"&amp;ADDRESS(ROW(),COLUMN(),4),L!$A:$A,0)-1,SL,,)</f>
        <v>A company’s Product or Finished good is a material or item which has completed the final stage of manufacturing and/or processing and is available for distribution or sale to customers.</v>
      </c>
      <c r="D20" s="319"/>
      <c r="E20" s="176"/>
    </row>
    <row r="21" ht="15" spans="1:5">
      <c r="A21" s="317"/>
      <c r="B21" s="320" t="str">
        <f ca="1">OFFSET(L!$C$1,MATCH("Definitions"&amp;ADDRESS(ROW(),COLUMN(),4),L!$A:$A,0)-1,SL,,)</f>
        <v>RBA</v>
      </c>
      <c r="C21" s="320" t="str">
        <f ca="1">OFFSET(L!$C$1,MATCH("Definitions"&amp;ADDRESS(ROW(),COLUMN(),4),L!$A:$A,0)-1,SL,,)</f>
        <v>Responsible Business Alliance (www.responsiblebusiness.org)</v>
      </c>
      <c r="D21" s="319"/>
      <c r="E21" s="176"/>
    </row>
    <row r="22" ht="106.5" customHeight="1" spans="1:5">
      <c r="A22" s="317"/>
      <c r="B22" s="320" t="str">
        <f ca="1">OFFSET(L!$C$1,MATCH("Definitions"&amp;ADDRESS(ROW(),COLUMN(),4),L!$A:$A,0)-1,SL,,)</f>
        <v>Recycled or Scrap Sources</v>
      </c>
      <c r="C22" s="32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9"/>
      <c r="E22" s="176"/>
    </row>
    <row r="23" ht="60" spans="1:5">
      <c r="A23" s="317"/>
      <c r="B23" s="320" t="str">
        <f ca="1">OFFSET(L!$C$1,MATCH("Definitions"&amp;ADDRESS(ROW(),COLUMN(),4),L!$A:$A,0)-1,SL,,)</f>
        <v>Responsible Minerals Assurance Process (RMAP)</v>
      </c>
      <c r="C23" s="32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9"/>
      <c r="E23" s="176"/>
    </row>
    <row r="24" ht="168" customHeight="1" spans="1:5">
      <c r="A24" s="317"/>
      <c r="B24" s="320" t="str">
        <f ca="1">OFFSET(L!$C$1,MATCH("Definitions"&amp;ADDRESS(ROW(),COLUMN(),4),L!$A:$A,0)-1,SL,,)</f>
        <v>Responsible Minerals Initiative</v>
      </c>
      <c r="C24" s="32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9"/>
      <c r="E24" s="176"/>
    </row>
    <row r="25" ht="177.65" customHeight="1" spans="1:5">
      <c r="A25" s="317"/>
      <c r="B25" s="320" t="str">
        <f ca="1">OFFSET(L!$C$1,MATCH("Definitions"&amp;ADDRESS(ROW(),COLUMN(),4),L!$A:$A,0)-1,SL,,)</f>
        <v>RMAP Conformant Smelter List</v>
      </c>
      <c r="C25" s="32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9"/>
      <c r="E25" s="176" t="s">
        <v>109</v>
      </c>
    </row>
    <row r="26" ht="75" spans="1:5">
      <c r="A26" s="317"/>
      <c r="B26" s="320" t="str">
        <f ca="1">OFFSET(L!$C$1,MATCH("Definitions"&amp;ADDRESS(ROW(),COLUMN(),4),L!$A:$A,0)-1,SL,,)</f>
        <v>SEC</v>
      </c>
      <c r="C26" s="320" t="str">
        <f ca="1">OFFSET(L!$C$1,MATCH("Definitions"&amp;ADDRESS(ROW(),COLUMN(),4),L!$A:$A,0)-1,SL,,)</f>
        <v>U.S. Securities and Exchange Commission (www.sec.gov)</v>
      </c>
      <c r="D26" s="319"/>
      <c r="E26" s="176" t="s">
        <v>111</v>
      </c>
    </row>
    <row r="27" ht="60" spans="1:5">
      <c r="A27" s="317"/>
      <c r="B27" s="320" t="str">
        <f ca="1">OFFSET(L!$C$1,MATCH("Definitions"&amp;ADDRESS(ROW(),COLUMN(),4),L!$A:$A,0)-1,SL,,)</f>
        <v>Smelter</v>
      </c>
      <c r="C27" s="32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9"/>
      <c r="E27" s="176" t="s">
        <v>109</v>
      </c>
    </row>
    <row r="28" ht="60" spans="1:5">
      <c r="A28" s="317"/>
      <c r="B28" s="320" t="str">
        <f ca="1">OFFSET(L!$C$1,MATCH("Definitions"&amp;ADDRESS(ROW(),COLUMN(),4),L!$A:$A,0)-1,SL,,)</f>
        <v>Smelter Identification Number</v>
      </c>
      <c r="C28" s="32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9"/>
      <c r="E28" s="176" t="s">
        <v>105</v>
      </c>
    </row>
    <row r="29" ht="90" spans="1:5">
      <c r="A29" s="317"/>
      <c r="B29" s="320" t="str">
        <f ca="1">OFFSET(L!$C$1,MATCH("Definitions"&amp;ADDRESS(ROW(),COLUMN(),4),L!$A:$A,0)-1,SL,,)</f>
        <v>Tantalum (Ta) smelter</v>
      </c>
      <c r="C29" s="32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9"/>
      <c r="E29" s="176" t="s">
        <v>111</v>
      </c>
    </row>
    <row r="30" ht="135" customHeight="1" spans="1:5">
      <c r="A30" s="317"/>
      <c r="B30" s="320" t="str">
        <f ca="1">OFFSET(L!$C$1,MATCH("Definitions"&amp;ADDRESS(ROW(),COLUMN(),4),L!$A:$A,0)-1,SL,,)</f>
        <v>Tin (Sn) smelter</v>
      </c>
      <c r="C30" s="32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9"/>
      <c r="E30" s="176" t="s">
        <v>116</v>
      </c>
    </row>
    <row r="31" ht="133" customHeight="1" spans="1:5">
      <c r="A31" s="317"/>
      <c r="B31" s="320" t="str">
        <f ca="1">OFFSET(L!$C$1,MATCH("Definitions"&amp;ADDRESS(ROW(),COLUMN(),4),L!$A:$A,0)-1,SL,,)</f>
        <v>Tungsten (W) smelter</v>
      </c>
      <c r="C31" s="32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9"/>
      <c r="E31" s="176"/>
    </row>
    <row r="32" ht="15" spans="1:5">
      <c r="A32" s="317"/>
      <c r="B32" s="321" t="str">
        <f ca="1">OFFSET(L!$C$1,MATCH("General"&amp;"Cpy",L!$A:$A,0)-1,SL,,)</f>
        <v>© 2026 Responsible Minerals Initiative. All rights reserved.</v>
      </c>
      <c r="C32" s="321"/>
      <c r="D32" s="319"/>
      <c r="E32" s="176"/>
    </row>
    <row r="33" ht="14.25" spans="1:4">
      <c r="A33" s="322"/>
      <c r="B33" s="323"/>
      <c r="C33" s="323"/>
      <c r="D33" s="324"/>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2" workbookViewId="0">
      <selection activeCell="D21" sqref="D21:J21"/>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3"/>
      <c r="B1" s="174"/>
      <c r="C1" s="174"/>
      <c r="D1" s="174"/>
      <c r="E1" s="174"/>
      <c r="F1" s="174"/>
      <c r="G1" s="174"/>
      <c r="H1" s="174"/>
      <c r="I1" s="174"/>
      <c r="J1" s="174"/>
      <c r="K1" s="175"/>
      <c r="L1" s="176"/>
      <c r="P1" s="177"/>
      <c r="Q1" s="177"/>
      <c r="R1" s="177"/>
      <c r="S1" s="177"/>
      <c r="T1" s="177"/>
      <c r="U1" s="177"/>
      <c r="V1" s="177"/>
      <c r="W1" s="177"/>
      <c r="X1" s="177"/>
      <c r="Y1" s="177"/>
      <c r="Z1" s="177"/>
      <c r="AA1" s="177"/>
      <c r="AB1" s="177"/>
      <c r="AC1" s="177"/>
      <c r="AD1" s="177"/>
      <c r="AE1" s="177"/>
      <c r="AF1" s="177"/>
      <c r="AG1" s="177"/>
      <c r="AH1" s="177"/>
    </row>
    <row r="2" ht="82.4" customHeight="1" spans="1:34">
      <c r="A2" s="178"/>
      <c r="B2" s="179"/>
      <c r="C2" s="180"/>
      <c r="D2" s="181" t="str">
        <f ca="1">OFFSET(L!$C$1,MATCH("Declaration"&amp;ADDRESS(ROW(),COLUMN(),4),L!$A:$A,0)-1,SL,,)</f>
        <v>Conflict Minerals Reporting Template (CMRT)</v>
      </c>
      <c r="E2" s="182"/>
      <c r="F2" s="182"/>
      <c r="G2" s="182"/>
      <c r="H2" s="182"/>
      <c r="I2" s="182"/>
      <c r="J2" s="183"/>
      <c r="K2" s="184"/>
      <c r="L2" s="185"/>
      <c r="N2" s="186"/>
      <c r="O2" s="186"/>
      <c r="P2" s="177"/>
      <c r="Q2" s="177"/>
      <c r="R2" s="177"/>
      <c r="S2" s="177"/>
      <c r="T2" s="177"/>
      <c r="U2" s="177"/>
      <c r="V2" s="177"/>
      <c r="W2" s="177"/>
      <c r="X2" s="177"/>
      <c r="Y2" s="177"/>
      <c r="Z2" s="177"/>
      <c r="AA2" s="177"/>
      <c r="AB2" s="177"/>
      <c r="AC2" s="177"/>
      <c r="AD2" s="177"/>
      <c r="AE2" s="177"/>
      <c r="AF2" s="177"/>
      <c r="AG2" s="177"/>
      <c r="AH2" s="177"/>
    </row>
    <row r="3" ht="139.5" customHeight="1" spans="1:34">
      <c r="A3" s="178"/>
      <c r="B3" s="187" t="s">
        <v>117</v>
      </c>
      <c r="C3" s="188"/>
      <c r="D3" s="189" t="s">
        <v>118</v>
      </c>
      <c r="E3" s="177"/>
      <c r="F3" s="190"/>
      <c r="G3" s="190"/>
      <c r="H3" s="190"/>
      <c r="I3" s="191"/>
      <c r="J3" s="192" t="s">
        <v>119</v>
      </c>
      <c r="K3" s="184"/>
      <c r="L3" s="176"/>
      <c r="P3" s="193">
        <f>MATCH($D$3,LN,0)</f>
        <v>1</v>
      </c>
    </row>
    <row r="4" ht="15" spans="1:34">
      <c r="A4" s="178"/>
      <c r="B4" s="146" t="str">
        <f ca="1">OFFSET(L!$C$1,MATCH("Declaration"&amp;ADDRESS(ROW(),COLUMN(),4),L!$A:$A,0)-1,SL,,)</f>
        <v>The purpose of this document is to collect sourcing information on tin, tantalum, tungsten and gold used in products</v>
      </c>
      <c r="C4" s="146"/>
      <c r="D4" s="146"/>
      <c r="E4" s="146"/>
      <c r="F4" s="146"/>
      <c r="G4" s="146"/>
      <c r="H4" s="146"/>
      <c r="I4" s="194" t="str">
        <f ca="1">OFFSET(L!$C$1,MATCH("Declaration"&amp;ADDRESS(ROW(),COLUMN(),4),L!$A:$A,0)-1,SL,,)</f>
        <v>Link to Terms &amp; Conditions</v>
      </c>
      <c r="J4" s="194"/>
      <c r="K4" s="184"/>
      <c r="L4" s="195"/>
      <c r="P4" s="177"/>
      <c r="Q4" s="177"/>
      <c r="R4" s="177"/>
      <c r="S4" s="177"/>
      <c r="T4" s="177"/>
      <c r="U4" s="177"/>
      <c r="V4" s="177"/>
      <c r="W4" s="177"/>
      <c r="X4" s="177"/>
      <c r="Y4" s="177"/>
      <c r="Z4" s="177"/>
      <c r="AA4" s="177"/>
      <c r="AB4" s="177"/>
      <c r="AC4" s="177"/>
      <c r="AD4" s="177"/>
      <c r="AE4" s="177"/>
      <c r="AF4" s="177"/>
      <c r="AG4" s="177"/>
      <c r="AH4" s="177"/>
    </row>
    <row r="5" ht="15" spans="1:34">
      <c r="A5" s="196" t="str">
        <f>LEFT(D9,1)</f>
        <v>C</v>
      </c>
      <c r="B5" s="197"/>
      <c r="C5" s="197"/>
      <c r="D5" s="197"/>
      <c r="E5" s="197"/>
      <c r="F5" s="197"/>
      <c r="G5" s="197"/>
      <c r="H5" s="197"/>
      <c r="I5" s="197"/>
      <c r="J5" s="197"/>
      <c r="K5" s="184"/>
      <c r="L5" s="195"/>
      <c r="M5" s="6"/>
      <c r="N5" s="6"/>
      <c r="O5" s="6"/>
      <c r="P5" s="198"/>
      <c r="Q5" s="198"/>
      <c r="R5" s="198"/>
      <c r="S5" s="198"/>
      <c r="T5" s="198"/>
      <c r="U5" s="198"/>
      <c r="V5" s="198"/>
      <c r="W5" s="198"/>
      <c r="X5" s="198"/>
      <c r="Y5" s="198"/>
      <c r="Z5" s="198"/>
      <c r="AA5" s="198"/>
      <c r="AB5" s="198"/>
      <c r="AC5" s="198"/>
      <c r="AD5" s="198"/>
      <c r="AE5" s="198"/>
      <c r="AF5" s="198"/>
      <c r="AG5" s="198"/>
      <c r="AH5" s="198"/>
    </row>
    <row r="6" ht="30" spans="1:34">
      <c r="A6" s="178"/>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4"/>
      <c r="L6" s="195" t="s">
        <v>106</v>
      </c>
      <c r="P6" s="177"/>
      <c r="Q6" s="177"/>
      <c r="R6" s="177"/>
      <c r="S6" s="177"/>
      <c r="T6" s="177"/>
      <c r="U6" s="177"/>
      <c r="V6" s="177"/>
      <c r="W6" s="177"/>
      <c r="X6" s="177"/>
      <c r="Y6" s="177"/>
      <c r="Z6" s="177"/>
      <c r="AA6" s="177"/>
      <c r="AB6" s="177"/>
      <c r="AC6" s="177"/>
      <c r="AD6" s="177"/>
      <c r="AE6" s="177"/>
      <c r="AF6" s="177"/>
      <c r="AG6" s="177"/>
      <c r="AH6" s="177"/>
    </row>
    <row r="7" ht="37" customHeight="1" spans="1:34">
      <c r="A7" s="178"/>
      <c r="B7" s="199" t="str">
        <f ca="1">OFFSET(L!$C$1,MATCH("Declaration"&amp;ADDRESS(ROW(),COLUMN(),4),L!$A:$A,0)-1,SL,,)</f>
        <v>Company Information</v>
      </c>
      <c r="C7" s="199"/>
      <c r="D7" s="199"/>
      <c r="E7" s="199"/>
      <c r="F7" s="199"/>
      <c r="G7" s="199"/>
      <c r="H7" s="199"/>
      <c r="I7" s="199"/>
      <c r="J7" s="199"/>
      <c r="K7" s="184"/>
      <c r="L7" s="195"/>
      <c r="P7" s="177"/>
      <c r="Q7" s="177"/>
      <c r="R7" s="177"/>
      <c r="S7" s="177"/>
      <c r="T7" s="177"/>
      <c r="U7" s="177"/>
      <c r="V7" s="177"/>
      <c r="W7" s="177"/>
      <c r="X7" s="177"/>
      <c r="Y7" s="177"/>
      <c r="Z7" s="177"/>
      <c r="AA7" s="177"/>
      <c r="AB7" s="177"/>
      <c r="AC7" s="177"/>
      <c r="AD7" s="177"/>
      <c r="AE7" s="177"/>
      <c r="AF7" s="177"/>
      <c r="AG7" s="177"/>
      <c r="AH7" s="177"/>
    </row>
    <row r="8" ht="15" spans="1:34">
      <c r="A8" s="200"/>
      <c r="B8" s="201" t="str">
        <f ca="1">OFFSET(L!$C$1,MATCH("Declaration"&amp;ADDRESS(ROW(),COLUMN(),4),L!$A:$A,0)-1,SL,,)</f>
        <v>Company Name (*):</v>
      </c>
      <c r="C8" s="202"/>
      <c r="D8" s="203" t="s">
        <v>120</v>
      </c>
      <c r="E8" s="204"/>
      <c r="F8" s="204"/>
      <c r="G8" s="204"/>
      <c r="H8" s="204"/>
      <c r="I8" s="204"/>
      <c r="J8" s="205"/>
      <c r="K8" s="206"/>
      <c r="L8" s="195"/>
      <c r="P8" s="177"/>
      <c r="Q8" s="177"/>
      <c r="R8" s="177"/>
      <c r="S8" s="177"/>
      <c r="T8" s="177"/>
      <c r="U8" s="177"/>
      <c r="V8" s="177"/>
      <c r="W8" s="177"/>
      <c r="X8" s="177"/>
      <c r="Y8" s="177"/>
      <c r="Z8" s="177"/>
      <c r="AA8" s="177"/>
      <c r="AB8" s="177"/>
      <c r="AC8" s="177"/>
      <c r="AD8" s="177"/>
      <c r="AE8" s="177"/>
      <c r="AF8" s="177"/>
      <c r="AG8" s="177"/>
      <c r="AH8" s="177"/>
    </row>
    <row r="9" ht="15" spans="1:34">
      <c r="A9" s="200"/>
      <c r="B9" s="201" t="str">
        <f ca="1">OFFSET(L!$C$1,MATCH("Declaration"&amp;ADDRESS(ROW(),COLUMN(),4),L!$A:$A,0)-1,SL,,)</f>
        <v>Declaration Scope or Class (*):</v>
      </c>
      <c r="C9" s="202"/>
      <c r="D9" s="207" t="s">
        <v>121</v>
      </c>
      <c r="E9" s="208"/>
      <c r="F9" s="208"/>
      <c r="G9" s="209"/>
      <c r="H9" s="210"/>
      <c r="I9" s="210"/>
      <c r="J9" s="210"/>
      <c r="K9" s="184"/>
      <c r="L9" s="195"/>
      <c r="P9" s="193" t="s">
        <v>122</v>
      </c>
      <c r="Q9" s="193" t="s">
        <v>123</v>
      </c>
      <c r="R9" s="193" t="s">
        <v>121</v>
      </c>
      <c r="S9" s="193"/>
      <c r="T9" s="211"/>
      <c r="U9" s="177"/>
      <c r="V9" s="177"/>
      <c r="W9" s="177"/>
      <c r="X9" s="177"/>
      <c r="Y9" s="177"/>
      <c r="Z9" s="177"/>
      <c r="AA9" s="177"/>
      <c r="AB9" s="177"/>
      <c r="AC9" s="177"/>
      <c r="AD9" s="177"/>
      <c r="AE9" s="177"/>
      <c r="AF9" s="177"/>
      <c r="AG9" s="177"/>
      <c r="AH9" s="177"/>
    </row>
    <row r="10" ht="32.5" customHeight="1" spans="1:34">
      <c r="A10" s="200"/>
      <c r="B10" s="212" t="str">
        <f ca="1">OFFSET(L!$C$1,MATCH("Declaration"&amp;ADDRESS(ROW(),COLUMN(),4)&amp;LEFT($D$9,1),L!$A:$A,0)-1,SL,,)</f>
        <v>Description of Scope: (*)</v>
      </c>
      <c r="C10" s="213"/>
      <c r="D10" s="214" t="s">
        <v>124</v>
      </c>
      <c r="E10" s="215"/>
      <c r="F10" s="215"/>
      <c r="G10" s="215"/>
      <c r="H10" s="215"/>
      <c r="I10" s="215"/>
      <c r="J10" s="216"/>
      <c r="K10" s="184"/>
      <c r="L10" s="195"/>
      <c r="Q10" s="177"/>
      <c r="R10" s="177"/>
      <c r="S10" s="177"/>
      <c r="T10" s="177"/>
      <c r="U10" s="177"/>
      <c r="V10" s="177"/>
      <c r="W10" s="177"/>
      <c r="X10" s="177"/>
      <c r="Y10" s="177"/>
      <c r="Z10" s="177"/>
      <c r="AA10" s="177"/>
      <c r="AB10" s="177"/>
      <c r="AC10" s="177"/>
      <c r="AD10" s="177"/>
      <c r="AE10" s="177"/>
      <c r="AF10" s="177"/>
      <c r="AG10" s="177"/>
      <c r="AH10" s="177"/>
    </row>
    <row r="11" ht="15" spans="1:34">
      <c r="A11" s="200"/>
      <c r="B11" s="201"/>
      <c r="C11" s="213"/>
      <c r="D11" s="217" t="str">
        <f ca="1">IF(D9=Q9,OFFSET(L!$C$1,MATCH("Declaration"&amp;ADDRESS(ROW(),COLUMN(),4),L!$A:$A,0)-1,SL,,),"")</f>
        <v/>
      </c>
      <c r="E11" s="218"/>
      <c r="F11" s="218"/>
      <c r="G11" s="218"/>
      <c r="H11" s="218"/>
      <c r="I11" s="218"/>
      <c r="J11" s="219"/>
      <c r="K11" s="184"/>
      <c r="L11" s="195"/>
      <c r="Q11" s="177"/>
      <c r="R11" s="177"/>
      <c r="S11" s="177"/>
      <c r="T11" s="177"/>
      <c r="U11" s="177"/>
      <c r="V11" s="177"/>
      <c r="W11" s="177"/>
      <c r="X11" s="177"/>
      <c r="Y11" s="177"/>
      <c r="Z11" s="177"/>
      <c r="AA11" s="177"/>
      <c r="AB11" s="177"/>
      <c r="AC11" s="177"/>
      <c r="AD11" s="177"/>
      <c r="AE11" s="177"/>
      <c r="AF11" s="177"/>
      <c r="AG11" s="177"/>
      <c r="AH11" s="177"/>
    </row>
    <row r="12" ht="15" spans="1:34">
      <c r="A12" s="200"/>
      <c r="B12" s="220" t="str">
        <f ca="1">OFFSET(L!$C$1,MATCH("Declaration"&amp;ADDRESS(ROW(),COLUMN(),4),L!$A:$A,0)-1,SL,,)</f>
        <v>Company Unique ID:</v>
      </c>
      <c r="C12" s="221"/>
      <c r="K12" s="184"/>
      <c r="L12" s="195"/>
      <c r="Q12" s="177"/>
      <c r="R12" s="177"/>
      <c r="S12" s="177"/>
      <c r="T12" s="177"/>
      <c r="U12" s="177"/>
      <c r="V12" s="177"/>
      <c r="W12" s="177"/>
      <c r="X12" s="177"/>
      <c r="Y12" s="177"/>
      <c r="Z12" s="177"/>
      <c r="AA12" s="177"/>
      <c r="AB12" s="177"/>
      <c r="AC12" s="177"/>
      <c r="AD12" s="177"/>
      <c r="AE12" s="177"/>
      <c r="AF12" s="177"/>
      <c r="AG12" s="177"/>
      <c r="AH12" s="177"/>
    </row>
    <row r="13" ht="15" spans="1:34">
      <c r="A13" s="200"/>
      <c r="B13" s="220" t="str">
        <f ca="1">OFFSET(L!$C$1,MATCH("Declaration"&amp;ADDRESS(ROW(),COLUMN(),4),L!$A:$A,0)-1,SL,,)</f>
        <v>Company Unique ID Authority:</v>
      </c>
      <c r="C13" s="221"/>
      <c r="D13" s="222"/>
      <c r="E13" s="223"/>
      <c r="F13" s="223"/>
      <c r="G13" s="223"/>
      <c r="H13" s="223"/>
      <c r="I13" s="223"/>
      <c r="J13" s="77"/>
      <c r="K13" s="184"/>
      <c r="L13" s="195"/>
      <c r="Q13" s="177"/>
      <c r="R13" s="177"/>
      <c r="S13" s="177"/>
      <c r="T13" s="177"/>
      <c r="U13" s="177"/>
      <c r="V13" s="177"/>
      <c r="W13" s="177"/>
      <c r="X13" s="177"/>
      <c r="Y13" s="177"/>
      <c r="Z13" s="177"/>
      <c r="AA13" s="177"/>
      <c r="AB13" s="177"/>
      <c r="AC13" s="177"/>
      <c r="AD13" s="177"/>
      <c r="AE13" s="177"/>
      <c r="AF13" s="177"/>
      <c r="AG13" s="177"/>
      <c r="AH13" s="177"/>
    </row>
    <row r="14" ht="15" spans="1:34">
      <c r="A14" s="200"/>
      <c r="B14" s="220" t="str">
        <f ca="1">OFFSET(L!$C$1,MATCH("Declaration"&amp;ADDRESS(ROW(),COLUMN(),4),L!$A:$A,0)-1,SL,,)</f>
        <v>Address:</v>
      </c>
      <c r="C14" s="221"/>
      <c r="D14" s="222"/>
      <c r="E14" s="223"/>
      <c r="F14" s="223"/>
      <c r="G14" s="223"/>
      <c r="H14" s="223"/>
      <c r="I14" s="223"/>
      <c r="J14" s="77"/>
      <c r="K14" s="184"/>
      <c r="L14" s="195"/>
      <c r="Q14" s="177"/>
      <c r="R14" s="177"/>
      <c r="S14" s="177"/>
      <c r="T14" s="177"/>
      <c r="U14" s="177"/>
      <c r="V14" s="177"/>
      <c r="W14" s="177"/>
      <c r="X14" s="177"/>
      <c r="Y14" s="177"/>
      <c r="Z14" s="177"/>
      <c r="AA14" s="177"/>
      <c r="AB14" s="177"/>
      <c r="AC14" s="177"/>
      <c r="AD14" s="177"/>
      <c r="AE14" s="177"/>
      <c r="AF14" s="177"/>
      <c r="AG14" s="177"/>
      <c r="AH14" s="177"/>
    </row>
    <row r="15" ht="15" spans="1:34">
      <c r="A15" s="200"/>
      <c r="B15" s="220" t="str">
        <f ca="1">OFFSET(L!$C$1,MATCH("Declaration"&amp;ADDRESS(ROW(),COLUMN(),4),L!$A:$A,0)-1,SL,,)</f>
        <v>Contact Name (*):</v>
      </c>
      <c r="C15" s="221"/>
      <c r="D15" s="222" t="s">
        <v>125</v>
      </c>
      <c r="E15" s="223"/>
      <c r="F15" s="223"/>
      <c r="G15" s="223"/>
      <c r="H15" s="223"/>
      <c r="I15" s="223"/>
      <c r="J15" s="77"/>
      <c r="K15" s="184"/>
      <c r="L15" s="195"/>
      <c r="Q15" s="177"/>
      <c r="R15" s="177"/>
      <c r="S15" s="177"/>
      <c r="T15" s="177"/>
      <c r="U15" s="177"/>
      <c r="V15" s="177"/>
      <c r="W15" s="177"/>
      <c r="X15" s="177"/>
      <c r="Y15" s="177"/>
      <c r="Z15" s="177"/>
      <c r="AA15" s="177"/>
      <c r="AB15" s="177"/>
      <c r="AC15" s="177"/>
      <c r="AD15" s="177"/>
      <c r="AE15" s="177"/>
      <c r="AF15" s="177"/>
      <c r="AG15" s="177"/>
      <c r="AH15" s="177"/>
    </row>
    <row r="16" ht="15" spans="1:34">
      <c r="A16" s="200"/>
      <c r="B16" s="220" t="str">
        <f ca="1">OFFSET(L!$C$1,MATCH("Declaration"&amp;ADDRESS(ROW(),COLUMN(),4),L!$A:$A,0)-1,SL,,)</f>
        <v>Email – Contact (*):</v>
      </c>
      <c r="C16" s="221"/>
      <c r="D16" s="224" t="s">
        <v>126</v>
      </c>
      <c r="E16" s="225"/>
      <c r="F16" s="225"/>
      <c r="G16" s="225"/>
      <c r="H16" s="225"/>
      <c r="I16" s="225"/>
      <c r="J16" s="226"/>
      <c r="K16" s="184"/>
      <c r="L16" s="195"/>
      <c r="Q16" s="177"/>
      <c r="R16" s="177"/>
      <c r="S16" s="177"/>
      <c r="T16" s="177"/>
      <c r="U16" s="177"/>
      <c r="V16" s="177"/>
      <c r="W16" s="177"/>
      <c r="X16" s="177"/>
      <c r="Y16" s="177"/>
      <c r="Z16" s="177"/>
      <c r="AA16" s="177"/>
      <c r="AB16" s="177"/>
      <c r="AC16" s="177"/>
      <c r="AD16" s="177"/>
      <c r="AE16" s="177"/>
      <c r="AF16" s="177"/>
      <c r="AG16" s="177"/>
      <c r="AH16" s="177"/>
    </row>
    <row r="17" ht="15" spans="1:34">
      <c r="A17" s="200"/>
      <c r="B17" s="220" t="str">
        <f ca="1">OFFSET(L!$C$1,MATCH("Declaration"&amp;ADDRESS(ROW(),COLUMN(),4),L!$A:$A,0)-1,SL,,)</f>
        <v>Phone – Contact (*):</v>
      </c>
      <c r="C17" s="221"/>
      <c r="D17" s="222" t="s">
        <v>127</v>
      </c>
      <c r="E17" s="223"/>
      <c r="F17" s="223"/>
      <c r="G17" s="223"/>
      <c r="H17" s="223"/>
      <c r="I17" s="223"/>
      <c r="J17" s="77"/>
      <c r="K17" s="184"/>
      <c r="L17" s="195"/>
      <c r="Q17" s="177"/>
      <c r="R17" s="177"/>
      <c r="S17" s="177"/>
      <c r="T17" s="177"/>
      <c r="U17" s="177"/>
      <c r="V17" s="177"/>
      <c r="W17" s="177"/>
      <c r="X17" s="177"/>
      <c r="Y17" s="177"/>
      <c r="Z17" s="177"/>
      <c r="AA17" s="177"/>
      <c r="AB17" s="177"/>
      <c r="AC17" s="177"/>
      <c r="AD17" s="177"/>
      <c r="AE17" s="177"/>
      <c r="AF17" s="177"/>
      <c r="AG17" s="177"/>
      <c r="AH17" s="177"/>
    </row>
    <row r="18" ht="23" spans="1:34">
      <c r="A18" s="200"/>
      <c r="B18" s="220" t="str">
        <f ca="1">OFFSET(L!$C$1,MATCH("Declaration"&amp;ADDRESS(ROW(),COLUMN(),4),L!$A:$A,0)-1,SL,,)</f>
        <v>Authorizer (*):</v>
      </c>
      <c r="C18" s="221"/>
      <c r="D18" s="227" t="s">
        <v>128</v>
      </c>
      <c r="E18" s="228"/>
      <c r="F18" s="228"/>
      <c r="G18" s="228"/>
      <c r="H18" s="228"/>
      <c r="I18" s="228"/>
      <c r="J18" s="229"/>
      <c r="K18" s="184"/>
      <c r="L18" s="230"/>
      <c r="Q18" s="177"/>
      <c r="R18" s="177"/>
      <c r="S18" s="177"/>
      <c r="T18" s="177"/>
      <c r="U18" s="177"/>
      <c r="V18" s="177"/>
      <c r="W18" s="177"/>
      <c r="X18" s="177"/>
      <c r="Y18" s="177"/>
      <c r="Z18" s="177"/>
      <c r="AA18" s="177"/>
      <c r="AB18" s="177"/>
      <c r="AC18" s="177"/>
      <c r="AD18" s="177"/>
      <c r="AE18" s="177"/>
      <c r="AF18" s="177"/>
      <c r="AG18" s="177"/>
      <c r="AH18" s="177"/>
    </row>
    <row r="19" ht="23" spans="1:34">
      <c r="A19" s="200"/>
      <c r="B19" s="220" t="str">
        <f ca="1">OFFSET(L!$C$1,MATCH("Declaration"&amp;ADDRESS(ROW(),COLUMN(),4),L!$A:$A,0)-1,SL,,)</f>
        <v>Title - Authorizer:</v>
      </c>
      <c r="C19" s="221"/>
      <c r="D19" s="222"/>
      <c r="E19" s="223"/>
      <c r="F19" s="223"/>
      <c r="G19" s="223"/>
      <c r="H19" s="223"/>
      <c r="I19" s="223"/>
      <c r="J19" s="77"/>
      <c r="K19" s="184"/>
      <c r="L19" s="230"/>
      <c r="P19" s="177"/>
      <c r="Q19" s="177"/>
      <c r="R19" s="177"/>
      <c r="S19" s="177"/>
      <c r="T19" s="177"/>
      <c r="U19" s="177"/>
      <c r="V19" s="177"/>
      <c r="W19" s="177"/>
      <c r="X19" s="177"/>
      <c r="Y19" s="177"/>
      <c r="Z19" s="177"/>
      <c r="AA19" s="177"/>
      <c r="AB19" s="177"/>
      <c r="AC19" s="177"/>
      <c r="AD19" s="177"/>
      <c r="AE19" s="177"/>
      <c r="AF19" s="177"/>
      <c r="AG19" s="177"/>
      <c r="AH19" s="177"/>
    </row>
    <row r="20" ht="23" spans="1:34">
      <c r="A20" s="200"/>
      <c r="B20" s="220" t="str">
        <f ca="1">OFFSET(L!$C$1,MATCH("Declaration"&amp;ADDRESS(ROW(),COLUMN(),4),L!$A:$A,0)-1,SL,,)</f>
        <v>Email - Authorizer (*):</v>
      </c>
      <c r="C20" s="221"/>
      <c r="D20" s="224" t="s">
        <v>126</v>
      </c>
      <c r="E20" s="225"/>
      <c r="F20" s="225"/>
      <c r="G20" s="225"/>
      <c r="H20" s="225"/>
      <c r="I20" s="225"/>
      <c r="J20" s="226"/>
      <c r="K20" s="184"/>
      <c r="L20" s="230"/>
      <c r="P20" s="177"/>
      <c r="Q20" s="177"/>
      <c r="R20" s="177"/>
      <c r="S20" s="177"/>
      <c r="T20" s="177"/>
      <c r="U20" s="177"/>
      <c r="V20" s="177"/>
      <c r="W20" s="177"/>
      <c r="X20" s="177"/>
      <c r="Y20" s="177"/>
      <c r="Z20" s="177"/>
      <c r="AA20" s="177"/>
      <c r="AB20" s="177"/>
      <c r="AC20" s="177"/>
      <c r="AD20" s="177"/>
      <c r="AE20" s="177"/>
      <c r="AF20" s="177"/>
      <c r="AG20" s="177"/>
      <c r="AH20" s="177"/>
    </row>
    <row r="21" ht="15" spans="1:34">
      <c r="A21" s="200"/>
      <c r="B21" s="220" t="str">
        <f ca="1">OFFSET(L!$C$1,MATCH("Declaration"&amp;ADDRESS(ROW(),COLUMN(),4),L!$A:$A,0)-1,SL,,)</f>
        <v>Phone - Authorizer:</v>
      </c>
      <c r="C21" s="231"/>
      <c r="D21" s="232" t="s">
        <v>127</v>
      </c>
      <c r="E21" s="233"/>
      <c r="F21" s="233"/>
      <c r="G21" s="233"/>
      <c r="H21" s="233"/>
      <c r="I21" s="233"/>
      <c r="J21" s="234"/>
      <c r="K21" s="184"/>
      <c r="L21" s="195"/>
      <c r="P21" s="177"/>
      <c r="Q21" s="177"/>
      <c r="R21" s="177"/>
      <c r="S21" s="177"/>
      <c r="T21" s="177"/>
      <c r="U21" s="177"/>
      <c r="V21" s="177"/>
      <c r="W21" s="177"/>
      <c r="X21" s="177"/>
      <c r="Y21" s="177"/>
      <c r="Z21" s="177"/>
      <c r="AA21" s="177"/>
      <c r="AB21" s="177"/>
      <c r="AC21" s="177"/>
      <c r="AD21" s="177"/>
      <c r="AE21" s="177"/>
      <c r="AF21" s="177"/>
      <c r="AG21" s="177"/>
      <c r="AH21" s="177"/>
    </row>
    <row r="22" ht="17.5" spans="1:34">
      <c r="A22" s="200"/>
      <c r="B22" s="220" t="str">
        <f ca="1">OFFSET(L!$C$1,MATCH("Declaration"&amp;ADDRESS(ROW(),COLUMN(),4),L!$A:$A,0)-1,SL,,)</f>
        <v>Effective Date (*):</v>
      </c>
      <c r="C22" s="235"/>
      <c r="D22" s="236">
        <v>46219</v>
      </c>
      <c r="E22" s="237"/>
      <c r="F22" s="238"/>
      <c r="G22" s="239"/>
      <c r="H22" s="239"/>
      <c r="I22" s="239"/>
      <c r="J22" s="239"/>
      <c r="K22" s="184"/>
      <c r="L22" s="176"/>
      <c r="P22" s="177"/>
      <c r="Q22" s="177"/>
      <c r="R22" s="177"/>
      <c r="S22" s="177"/>
      <c r="T22" s="177"/>
      <c r="U22" s="177"/>
      <c r="V22" s="177"/>
      <c r="W22" s="177"/>
      <c r="X22" s="177"/>
      <c r="Y22" s="177"/>
      <c r="Z22" s="177"/>
      <c r="AA22" s="177"/>
      <c r="AB22" s="177"/>
      <c r="AC22" s="177"/>
      <c r="AD22" s="177"/>
      <c r="AE22" s="177"/>
      <c r="AF22" s="177"/>
      <c r="AG22" s="177"/>
      <c r="AH22" s="177"/>
    </row>
    <row r="23" ht="17.5" spans="1:34">
      <c r="A23" s="240"/>
      <c r="B23" s="241"/>
      <c r="C23" s="242"/>
      <c r="D23" s="243"/>
      <c r="E23" s="243"/>
      <c r="F23" s="244"/>
      <c r="G23" s="245"/>
      <c r="H23" s="245"/>
      <c r="I23" s="245"/>
      <c r="J23" s="245"/>
      <c r="K23" s="184"/>
      <c r="L23" s="246"/>
      <c r="P23" s="177"/>
      <c r="Q23" s="177"/>
      <c r="R23" s="177"/>
      <c r="S23" s="177"/>
      <c r="T23" s="177"/>
      <c r="U23" s="177"/>
      <c r="V23" s="177"/>
      <c r="W23" s="177"/>
      <c r="X23" s="177"/>
      <c r="Y23" s="177"/>
      <c r="Z23" s="177"/>
      <c r="AA23" s="177"/>
      <c r="AB23" s="177"/>
      <c r="AC23" s="177"/>
      <c r="AD23" s="177"/>
      <c r="AE23" s="177"/>
      <c r="AF23" s="177"/>
      <c r="AG23" s="177"/>
      <c r="AH23" s="177"/>
    </row>
    <row r="24" ht="15" spans="1:34">
      <c r="A24" s="247"/>
      <c r="B24" s="75" t="str">
        <f ca="1">OFFSET(L!$C$1,MATCH("Declaration"&amp;ADDRESS(ROW(),COLUMN(),4),L!$A:$A,0)-1,SL,,)</f>
        <v>Answer the following questions 1 - 8 based on the declaration scope indicated above</v>
      </c>
      <c r="C24" s="75"/>
      <c r="D24" s="75"/>
      <c r="E24" s="75"/>
      <c r="F24" s="75"/>
      <c r="G24" s="75"/>
      <c r="H24" s="75"/>
      <c r="I24" s="75"/>
      <c r="J24" s="75"/>
      <c r="K24" s="248"/>
      <c r="L24" s="246"/>
      <c r="P24" s="177"/>
      <c r="Q24" s="177"/>
      <c r="R24" s="177"/>
      <c r="S24" s="177"/>
      <c r="T24" s="177"/>
      <c r="U24" s="177"/>
      <c r="V24" s="177"/>
      <c r="W24" s="177"/>
      <c r="X24" s="177"/>
      <c r="Y24" s="177"/>
      <c r="Z24" s="177"/>
      <c r="AA24" s="177"/>
      <c r="AB24" s="177"/>
      <c r="AC24" s="177"/>
      <c r="AD24" s="177"/>
      <c r="AE24" s="177"/>
      <c r="AF24" s="177"/>
      <c r="AG24" s="177"/>
      <c r="AH24" s="177"/>
    </row>
    <row r="25" ht="48.65" customHeight="1" spans="1:34">
      <c r="A25" s="240"/>
      <c r="B25" s="249" t="str">
        <f ca="1">OFFSET(L!$C$1,MATCH("Declaration"&amp;ADDRESS(ROW(),COLUMN(),4),L!$A:$A,0)-1,SL,,)</f>
        <v>1) Is any 3TG intentionally added or used in the product(s) or in the production process? (*)</v>
      </c>
      <c r="C25" s="242"/>
      <c r="D25" s="250" t="str">
        <f ca="1">OFFSET(L!$C$1,MATCH("Declaration"&amp;ADDRESS(ROW(),COLUMN(),4),L!$A:$A,0)-1,SL,,)</f>
        <v>Answer</v>
      </c>
      <c r="E25" s="250"/>
      <c r="F25" s="251"/>
      <c r="G25" s="249" t="str">
        <f ca="1">OFFSET(L!$C$1,MATCH("Declaration"&amp;ADDRESS(ROW(),COLUMN(),4),L!$A:$A,0)-1,SL,,)</f>
        <v>Comments</v>
      </c>
      <c r="H25" s="249"/>
      <c r="I25" s="249"/>
      <c r="J25" s="252"/>
      <c r="K25" s="184"/>
      <c r="L25" s="246" t="s">
        <v>109</v>
      </c>
      <c r="P25" s="177"/>
      <c r="Q25" s="177"/>
      <c r="R25" s="177"/>
      <c r="S25" s="177"/>
      <c r="T25" s="177"/>
      <c r="U25" s="177"/>
      <c r="V25" s="177"/>
      <c r="W25" s="177"/>
      <c r="X25" s="177"/>
      <c r="Y25" s="177"/>
      <c r="Z25" s="177"/>
      <c r="AA25" s="177"/>
      <c r="AB25" s="177"/>
      <c r="AC25" s="177"/>
      <c r="AD25" s="177"/>
      <c r="AE25" s="177"/>
      <c r="AF25" s="177"/>
      <c r="AG25" s="177"/>
      <c r="AH25" s="177"/>
    </row>
    <row r="26" ht="23" spans="1:34">
      <c r="A26" s="240"/>
      <c r="B26" s="220" t="str">
        <f ca="1">OFFSET(L!$C$1,MATCH("Declaration"&amp;ADDRESS(ROW(),COLUMN(),4),L!$A:$A,0)-1,SL,,)&amp;P26</f>
        <v>Tantalum  </v>
      </c>
      <c r="C26" s="180"/>
      <c r="D26" s="253" t="s">
        <v>129</v>
      </c>
      <c r="E26" s="254"/>
      <c r="F26" s="255"/>
      <c r="G26" s="256"/>
      <c r="H26" s="257"/>
      <c r="I26" s="257"/>
      <c r="J26" s="258"/>
      <c r="K26" s="184"/>
      <c r="L26" s="259"/>
      <c r="P26" s="193" t="str">
        <f>IF(D$26="No","","(*)")</f>
        <v/>
      </c>
      <c r="R26" s="177"/>
      <c r="S26" s="177"/>
      <c r="T26" s="177"/>
      <c r="U26" s="177"/>
      <c r="V26" s="177"/>
      <c r="W26" s="177"/>
      <c r="X26" s="177"/>
      <c r="Y26" s="177"/>
      <c r="Z26" s="177"/>
      <c r="AA26" s="177"/>
      <c r="AB26" s="177"/>
      <c r="AC26" s="177"/>
      <c r="AD26" s="177"/>
      <c r="AE26" s="177"/>
      <c r="AF26" s="177"/>
      <c r="AG26" s="177"/>
      <c r="AH26" s="177"/>
    </row>
    <row r="27" ht="23" spans="1:34">
      <c r="A27" s="240"/>
      <c r="B27" s="220" t="str">
        <f ca="1">OFFSET(L!$C$1,MATCH("Declaration"&amp;ADDRESS(ROW(),COLUMN(),4),L!$A:$A,0)-1,SL,,)&amp;P27</f>
        <v>Tin  (*)</v>
      </c>
      <c r="C27" s="180"/>
      <c r="D27" s="253" t="s">
        <v>130</v>
      </c>
      <c r="E27" s="254"/>
      <c r="F27" s="255"/>
      <c r="G27" s="256"/>
      <c r="H27" s="257"/>
      <c r="I27" s="257"/>
      <c r="J27" s="258"/>
      <c r="K27" s="184"/>
      <c r="L27" s="259"/>
      <c r="P27" s="193" t="str">
        <f>IF(D$27="No","","(*)")</f>
        <v>(*)</v>
      </c>
      <c r="R27" s="177"/>
      <c r="S27" s="177"/>
      <c r="T27" s="177"/>
      <c r="U27" s="177"/>
      <c r="V27" s="177"/>
      <c r="W27" s="177"/>
      <c r="X27" s="177"/>
      <c r="Y27" s="177"/>
      <c r="Z27" s="177"/>
      <c r="AA27" s="177"/>
      <c r="AB27" s="177"/>
      <c r="AC27" s="177"/>
      <c r="AD27" s="177"/>
      <c r="AE27" s="177"/>
      <c r="AF27" s="177"/>
      <c r="AG27" s="177"/>
      <c r="AH27" s="177"/>
    </row>
    <row r="28" ht="23" spans="1:34">
      <c r="A28" s="240"/>
      <c r="B28" s="220" t="str">
        <f ca="1">OFFSET(L!$C$1,MATCH("Declaration"&amp;ADDRESS(ROW(),COLUMN(),4),L!$A:$A,0)-1,SL,,)&amp;P28</f>
        <v>Gold  </v>
      </c>
      <c r="C28" s="180"/>
      <c r="D28" s="253" t="s">
        <v>129</v>
      </c>
      <c r="E28" s="254"/>
      <c r="F28" s="255"/>
      <c r="G28" s="256"/>
      <c r="H28" s="257"/>
      <c r="I28" s="257"/>
      <c r="J28" s="258"/>
      <c r="K28" s="184"/>
      <c r="L28" s="259"/>
      <c r="P28" s="193" t="str">
        <f>IF(D$28="No","","(*)")</f>
        <v/>
      </c>
      <c r="R28" s="177"/>
      <c r="S28" s="177"/>
      <c r="T28" s="177"/>
      <c r="U28" s="177"/>
      <c r="V28" s="177"/>
      <c r="W28" s="177"/>
      <c r="X28" s="177"/>
      <c r="Y28" s="177"/>
      <c r="Z28" s="177"/>
      <c r="AA28" s="177"/>
      <c r="AB28" s="177"/>
      <c r="AC28" s="177"/>
      <c r="AD28" s="177"/>
      <c r="AE28" s="177"/>
      <c r="AF28" s="177"/>
      <c r="AG28" s="177"/>
      <c r="AH28" s="177"/>
    </row>
    <row r="29" ht="23" spans="1:34">
      <c r="A29" s="240"/>
      <c r="B29" s="220" t="str">
        <f ca="1">OFFSET(L!$C$1,MATCH("Declaration"&amp;ADDRESS(ROW(),COLUMN(),4),L!$A:$A,0)-1,SL,,)&amp;P29</f>
        <v>Tungsten  </v>
      </c>
      <c r="C29" s="180"/>
      <c r="D29" s="253" t="s">
        <v>129</v>
      </c>
      <c r="E29" s="254"/>
      <c r="F29" s="255"/>
      <c r="G29" s="256"/>
      <c r="H29" s="257"/>
      <c r="I29" s="257"/>
      <c r="J29" s="258"/>
      <c r="K29" s="184"/>
      <c r="L29" s="259"/>
      <c r="P29" s="193" t="str">
        <f>IF(D$29="No","","(*)")</f>
        <v/>
      </c>
      <c r="R29" s="177"/>
      <c r="S29" s="177"/>
      <c r="T29" s="177"/>
      <c r="U29" s="177"/>
      <c r="V29" s="177"/>
      <c r="W29" s="177"/>
      <c r="X29" s="177"/>
      <c r="Y29" s="177"/>
      <c r="Z29" s="177"/>
      <c r="AA29" s="177"/>
      <c r="AB29" s="177"/>
      <c r="AC29" s="177"/>
      <c r="AD29" s="177"/>
      <c r="AE29" s="177"/>
      <c r="AF29" s="177"/>
      <c r="AG29" s="177"/>
      <c r="AH29" s="177"/>
    </row>
    <row r="30" ht="17.5" spans="1:34">
      <c r="A30" s="240"/>
      <c r="B30" s="260"/>
      <c r="C30" s="261"/>
      <c r="D30" s="260"/>
      <c r="E30" s="260"/>
      <c r="F30" s="262"/>
      <c r="G30" s="260"/>
      <c r="H30" s="263"/>
      <c r="I30" s="263"/>
      <c r="J30" s="263"/>
      <c r="K30" s="184"/>
      <c r="L30" s="246"/>
      <c r="R30" s="177"/>
      <c r="S30" s="177"/>
      <c r="T30" s="177"/>
      <c r="U30" s="177"/>
      <c r="V30" s="177"/>
      <c r="W30" s="177"/>
      <c r="X30" s="177"/>
      <c r="Y30" s="177"/>
      <c r="Z30" s="177"/>
      <c r="AA30" s="177"/>
      <c r="AB30" s="177"/>
      <c r="AC30" s="177"/>
      <c r="AD30" s="177"/>
      <c r="AE30" s="177"/>
      <c r="AF30" s="177"/>
      <c r="AG30" s="177"/>
      <c r="AH30" s="177"/>
    </row>
    <row r="31" ht="48.65" customHeight="1" spans="1:34">
      <c r="A31" s="240"/>
      <c r="B31" s="249" t="str">
        <f ca="1">OFFSET(L!$C$1,MATCH("Declaration"&amp;ADDRESS(ROW(),COLUMN(),4),L!$A:$A,0)-1,SL,,)&amp;Q$37</f>
        <v>2) Does any 3TG remain in the product(s)? (*)</v>
      </c>
      <c r="C31" s="261"/>
      <c r="D31" s="264" t="str">
        <f ca="1">D25</f>
        <v>Answer</v>
      </c>
      <c r="E31" s="264"/>
      <c r="F31" s="251"/>
      <c r="G31" s="249" t="str">
        <f ca="1">G25</f>
        <v>Comments</v>
      </c>
      <c r="H31" s="249"/>
      <c r="I31" s="249"/>
      <c r="J31" s="252"/>
      <c r="K31" s="184"/>
      <c r="L31" s="246" t="s">
        <v>106</v>
      </c>
      <c r="P31" s="193">
        <f>COUNTIF(D$26:D$29,"No")</f>
        <v>3</v>
      </c>
      <c r="Q31" s="193" t="str">
        <f>IF(P31=4,""," (*)")</f>
        <v> (*)</v>
      </c>
      <c r="R31" s="177"/>
      <c r="S31" s="177"/>
      <c r="T31" s="177"/>
      <c r="U31" s="177"/>
      <c r="V31" s="177"/>
      <c r="W31" s="177"/>
      <c r="X31" s="177"/>
      <c r="Y31" s="177"/>
      <c r="Z31" s="177"/>
      <c r="AA31" s="177"/>
      <c r="AB31" s="177"/>
      <c r="AC31" s="177"/>
      <c r="AD31" s="177"/>
      <c r="AE31" s="177"/>
      <c r="AF31" s="177"/>
      <c r="AG31" s="177"/>
      <c r="AH31" s="177"/>
    </row>
    <row r="32" ht="23" spans="1:34">
      <c r="A32" s="240"/>
      <c r="B32" s="220" t="str">
        <f ca="1">B26</f>
        <v>Tantalum  </v>
      </c>
      <c r="C32" s="261"/>
      <c r="D32" s="265"/>
      <c r="E32" s="266"/>
      <c r="F32" s="267"/>
      <c r="G32" s="256"/>
      <c r="H32" s="257"/>
      <c r="I32" s="257"/>
      <c r="J32" s="258"/>
      <c r="K32" s="184"/>
      <c r="L32" s="259"/>
      <c r="P32" s="193" t="str">
        <f>IF(D$32="No","","(*)")</f>
        <v>(*)</v>
      </c>
      <c r="Q32" s="177"/>
      <c r="R32" s="177"/>
      <c r="S32" s="177"/>
      <c r="T32" s="177"/>
      <c r="U32" s="177"/>
      <c r="V32" s="177"/>
      <c r="W32" s="177"/>
      <c r="X32" s="177"/>
      <c r="Y32" s="177"/>
      <c r="Z32" s="177"/>
      <c r="AA32" s="177"/>
      <c r="AB32" s="177"/>
      <c r="AC32" s="177"/>
      <c r="AD32" s="177"/>
      <c r="AE32" s="177"/>
      <c r="AF32" s="177"/>
      <c r="AG32" s="177"/>
      <c r="AH32" s="177"/>
    </row>
    <row r="33" ht="23" spans="1:34">
      <c r="A33" s="240"/>
      <c r="B33" s="220" t="str">
        <f ca="1">B27</f>
        <v>Tin  (*)</v>
      </c>
      <c r="C33" s="261"/>
      <c r="D33" s="253" t="s">
        <v>130</v>
      </c>
      <c r="E33" s="254"/>
      <c r="F33" s="267"/>
      <c r="G33" s="256"/>
      <c r="H33" s="257"/>
      <c r="I33" s="257"/>
      <c r="J33" s="258"/>
      <c r="K33" s="184"/>
      <c r="L33" s="259"/>
      <c r="P33" s="193" t="str">
        <f>IF(D$33="No","","(*)")</f>
        <v>(*)</v>
      </c>
      <c r="Q33" s="177"/>
      <c r="R33" s="177"/>
      <c r="S33" s="177"/>
      <c r="T33" s="177"/>
      <c r="U33" s="177"/>
      <c r="V33" s="177"/>
      <c r="W33" s="177"/>
      <c r="X33" s="177"/>
      <c r="Y33" s="177"/>
      <c r="Z33" s="177"/>
      <c r="AA33" s="177"/>
      <c r="AB33" s="177"/>
      <c r="AC33" s="177"/>
      <c r="AD33" s="177"/>
      <c r="AE33" s="177"/>
      <c r="AF33" s="177"/>
      <c r="AG33" s="177"/>
      <c r="AH33" s="177"/>
    </row>
    <row r="34" ht="23" spans="1:34">
      <c r="A34" s="240"/>
      <c r="B34" s="220" t="str">
        <f ca="1">B28</f>
        <v>Gold  </v>
      </c>
      <c r="C34" s="261"/>
      <c r="D34" s="253"/>
      <c r="E34" s="254"/>
      <c r="F34" s="267"/>
      <c r="G34" s="256"/>
      <c r="H34" s="257"/>
      <c r="I34" s="257"/>
      <c r="J34" s="258"/>
      <c r="K34" s="184"/>
      <c r="L34" s="259"/>
      <c r="P34" s="193" t="str">
        <f>IF(D$34="No","","(*)")</f>
        <v>(*)</v>
      </c>
      <c r="Q34" s="177"/>
      <c r="R34" s="177"/>
      <c r="S34" s="177"/>
      <c r="T34" s="177"/>
      <c r="U34" s="177"/>
      <c r="V34" s="177"/>
      <c r="W34" s="177"/>
      <c r="X34" s="177"/>
      <c r="Y34" s="177"/>
      <c r="Z34" s="177"/>
      <c r="AA34" s="177"/>
      <c r="AB34" s="177"/>
      <c r="AC34" s="177"/>
      <c r="AD34" s="177"/>
      <c r="AE34" s="177"/>
      <c r="AF34" s="177"/>
      <c r="AG34" s="177"/>
      <c r="AH34" s="177"/>
    </row>
    <row r="35" ht="23" spans="1:34">
      <c r="A35" s="240"/>
      <c r="B35" s="220" t="str">
        <f ca="1">B29</f>
        <v>Tungsten  </v>
      </c>
      <c r="C35" s="261"/>
      <c r="D35" s="253"/>
      <c r="E35" s="254"/>
      <c r="F35" s="267"/>
      <c r="G35" s="256"/>
      <c r="H35" s="257"/>
      <c r="I35" s="257"/>
      <c r="J35" s="258"/>
      <c r="K35" s="184"/>
      <c r="L35" s="259"/>
      <c r="P35" s="193" t="str">
        <f>IF(D$35="No","","(*)")</f>
        <v>(*)</v>
      </c>
      <c r="Q35" s="177"/>
      <c r="R35" s="177"/>
      <c r="S35" s="177"/>
      <c r="T35" s="177"/>
      <c r="U35" s="177"/>
      <c r="V35" s="177"/>
      <c r="W35" s="177"/>
      <c r="X35" s="177"/>
      <c r="Y35" s="177"/>
      <c r="Z35" s="177"/>
      <c r="AA35" s="177"/>
      <c r="AB35" s="177"/>
      <c r="AC35" s="177"/>
      <c r="AD35" s="177"/>
      <c r="AE35" s="177"/>
      <c r="AF35" s="177"/>
      <c r="AG35" s="177"/>
      <c r="AH35" s="177"/>
    </row>
    <row r="36" ht="17.5" spans="1:34">
      <c r="A36" s="240"/>
      <c r="B36" s="262"/>
      <c r="C36" s="261"/>
      <c r="D36" s="262"/>
      <c r="E36" s="262"/>
      <c r="F36" s="268"/>
      <c r="G36" s="262"/>
      <c r="H36" s="263"/>
      <c r="I36" s="263"/>
      <c r="J36" s="263"/>
      <c r="K36" s="184"/>
      <c r="L36" s="246"/>
      <c r="P36" s="177"/>
      <c r="Q36" s="177"/>
      <c r="R36" s="177"/>
      <c r="S36" s="177"/>
      <c r="T36" s="177"/>
      <c r="U36" s="177"/>
      <c r="V36" s="177"/>
      <c r="W36" s="177"/>
      <c r="X36" s="177"/>
      <c r="Y36" s="177"/>
      <c r="Z36" s="177"/>
      <c r="AA36" s="177"/>
      <c r="AB36" s="177"/>
      <c r="AC36" s="177"/>
      <c r="AD36" s="177"/>
      <c r="AE36" s="177"/>
      <c r="AF36" s="177"/>
      <c r="AG36" s="177"/>
      <c r="AH36" s="177"/>
    </row>
    <row r="37" ht="48.65" customHeight="1" spans="1:34">
      <c r="A37" s="240"/>
      <c r="B37" s="249" t="str">
        <f ca="1">OFFSET(L!$C$1,MATCH("Declaration"&amp;ADDRESS(ROW(),COLUMN(),4),L!$A:$A,0)-1,SL,,)&amp;Q$37</f>
        <v>3) Do any of the smelters in your supply chain source the 3TG from the covered countries? (SEC term, see definitions tab) (*)</v>
      </c>
      <c r="C37" s="261"/>
      <c r="D37" s="264" t="str">
        <f ca="1">D25</f>
        <v>Answer</v>
      </c>
      <c r="E37" s="264"/>
      <c r="F37" s="251"/>
      <c r="G37" s="249" t="str">
        <f ca="1">G25</f>
        <v>Comments</v>
      </c>
      <c r="H37" s="269"/>
      <c r="I37" s="269"/>
      <c r="J37" s="269"/>
      <c r="K37" s="184"/>
      <c r="L37" s="246" t="s">
        <v>106</v>
      </c>
      <c r="P37" s="193">
        <f>COUNTIF(D$26:D$29,"No")+COUNTIF(D$32:D$35,"No")</f>
        <v>3</v>
      </c>
      <c r="Q37" s="193" t="str">
        <f>IF(P37&gt;3,""," (*)")</f>
        <v> (*)</v>
      </c>
      <c r="R37" s="177"/>
      <c r="S37" s="177"/>
      <c r="T37" s="177"/>
      <c r="U37" s="177"/>
      <c r="V37" s="177"/>
      <c r="W37" s="177"/>
      <c r="X37" s="177"/>
      <c r="Y37" s="177"/>
      <c r="Z37" s="177"/>
      <c r="AA37" s="177"/>
      <c r="AB37" s="177"/>
      <c r="AC37" s="177"/>
      <c r="AD37" s="177"/>
      <c r="AE37" s="177"/>
      <c r="AF37" s="177"/>
      <c r="AG37" s="177"/>
      <c r="AH37" s="177"/>
    </row>
    <row r="38" ht="23" spans="1:34">
      <c r="A38" s="240"/>
      <c r="B38" s="220" t="str">
        <f ca="1">OFFSET(L!$C$1,MATCH("Declaration"&amp;ADDRESS(ROW(),COLUMN(),4),L!$A:$A,0)-1,SL,,)&amp;P38</f>
        <v>Tantalum  </v>
      </c>
      <c r="C38" s="261"/>
      <c r="D38" s="253"/>
      <c r="E38" s="254"/>
      <c r="F38" s="267"/>
      <c r="G38" s="256"/>
      <c r="H38" s="257"/>
      <c r="I38" s="257"/>
      <c r="J38" s="258"/>
      <c r="K38" s="184"/>
      <c r="L38" s="259"/>
      <c r="P38" s="193" t="str">
        <f>IF((OR(D$26="No",D$32="No")),"","(*)")</f>
        <v/>
      </c>
      <c r="Q38" s="177"/>
      <c r="R38" s="177"/>
      <c r="S38" s="177"/>
      <c r="T38" s="177"/>
      <c r="U38" s="177"/>
      <c r="V38" s="177"/>
      <c r="W38" s="177"/>
      <c r="X38" s="177"/>
      <c r="Y38" s="177"/>
      <c r="Z38" s="177"/>
      <c r="AA38" s="177"/>
      <c r="AB38" s="177"/>
      <c r="AC38" s="177"/>
      <c r="AD38" s="177"/>
      <c r="AE38" s="177"/>
      <c r="AF38" s="177"/>
      <c r="AG38" s="177"/>
    </row>
    <row r="39" ht="23" spans="1:34">
      <c r="A39" s="240"/>
      <c r="B39" s="220" t="str">
        <f ca="1">OFFSET(L!$C$1,MATCH("Declaration"&amp;ADDRESS(ROW(),COLUMN(),4),L!$A:$A,0)-1,SL,,)&amp;P39</f>
        <v>Tin  (*)</v>
      </c>
      <c r="C39" s="261"/>
      <c r="D39" s="253" t="s">
        <v>129</v>
      </c>
      <c r="E39" s="254"/>
      <c r="F39" s="267"/>
      <c r="G39" s="256"/>
      <c r="H39" s="257"/>
      <c r="I39" s="257"/>
      <c r="J39" s="258"/>
      <c r="K39" s="184"/>
      <c r="L39" s="259"/>
      <c r="P39" s="193" t="str">
        <f>IF((OR(D$27="No",D$33="No")),"","(*)")</f>
        <v>(*)</v>
      </c>
      <c r="Q39" s="177"/>
      <c r="R39" s="177"/>
      <c r="S39" s="177"/>
      <c r="T39" s="177"/>
      <c r="U39" s="177"/>
      <c r="V39" s="177"/>
      <c r="W39" s="177"/>
      <c r="X39" s="177"/>
      <c r="Y39" s="177"/>
      <c r="Z39" s="177"/>
      <c r="AA39" s="177"/>
      <c r="AB39" s="177"/>
      <c r="AC39" s="177"/>
      <c r="AD39" s="177"/>
      <c r="AE39" s="177"/>
      <c r="AF39" s="177"/>
      <c r="AG39" s="177"/>
    </row>
    <row r="40" ht="23" spans="1:34">
      <c r="A40" s="240"/>
      <c r="B40" s="220" t="str">
        <f ca="1">OFFSET(L!$C$1,MATCH("Declaration"&amp;ADDRESS(ROW(),COLUMN(),4),L!$A:$A,0)-1,SL,,)&amp;P40</f>
        <v>Gold  </v>
      </c>
      <c r="C40" s="261"/>
      <c r="D40" s="253"/>
      <c r="E40" s="254"/>
      <c r="F40" s="267"/>
      <c r="G40" s="256"/>
      <c r="H40" s="257"/>
      <c r="I40" s="257"/>
      <c r="J40" s="258"/>
      <c r="K40" s="184"/>
      <c r="L40" s="259"/>
      <c r="P40" s="193" t="str">
        <f>IF((OR(D$28="No",D$34="No")),"","(*)")</f>
        <v/>
      </c>
      <c r="Q40" s="177"/>
      <c r="R40" s="177"/>
      <c r="S40" s="177"/>
      <c r="T40" s="177"/>
      <c r="U40" s="177"/>
      <c r="V40" s="177"/>
      <c r="W40" s="177"/>
      <c r="X40" s="177"/>
      <c r="Y40" s="177"/>
      <c r="Z40" s="177"/>
      <c r="AA40" s="177"/>
      <c r="AB40" s="177"/>
      <c r="AC40" s="177"/>
      <c r="AD40" s="177"/>
      <c r="AE40" s="177"/>
      <c r="AF40" s="177"/>
      <c r="AG40" s="177"/>
    </row>
    <row r="41" ht="23" spans="1:34">
      <c r="A41" s="240"/>
      <c r="B41" s="220" t="str">
        <f ca="1">OFFSET(L!$C$1,MATCH("Declaration"&amp;ADDRESS(ROW(),COLUMN(),4),L!$A:$A,0)-1,SL,,)&amp;P41</f>
        <v>Tungsten  </v>
      </c>
      <c r="C41" s="261"/>
      <c r="D41" s="253"/>
      <c r="E41" s="254"/>
      <c r="F41" s="267"/>
      <c r="G41" s="256"/>
      <c r="H41" s="257"/>
      <c r="I41" s="257"/>
      <c r="J41" s="258"/>
      <c r="K41" s="184"/>
      <c r="L41" s="259"/>
      <c r="P41" s="193" t="str">
        <f>IF((OR(D$29="No",D$35="No")),"","(*)")</f>
        <v/>
      </c>
      <c r="Q41" s="177"/>
      <c r="R41" s="177"/>
      <c r="S41" s="177"/>
      <c r="T41" s="177"/>
      <c r="U41" s="177"/>
      <c r="V41" s="177"/>
      <c r="W41" s="177"/>
      <c r="X41" s="177"/>
      <c r="Y41" s="177"/>
      <c r="Z41" s="177"/>
      <c r="AA41" s="177"/>
      <c r="AB41" s="177"/>
      <c r="AC41" s="177"/>
      <c r="AD41" s="177"/>
      <c r="AE41" s="177"/>
      <c r="AF41" s="177"/>
      <c r="AG41" s="177"/>
    </row>
    <row r="42" ht="17.5" spans="1:34">
      <c r="A42" s="240"/>
      <c r="B42" s="262"/>
      <c r="C42" s="261"/>
      <c r="D42" s="262"/>
      <c r="E42" s="262"/>
      <c r="F42" s="268"/>
      <c r="G42" s="262"/>
      <c r="H42" s="263"/>
      <c r="I42" s="263"/>
      <c r="J42" s="263"/>
      <c r="K42" s="184"/>
      <c r="L42" s="246"/>
      <c r="Q42" s="177"/>
      <c r="R42" s="177"/>
      <c r="S42" s="177"/>
      <c r="T42" s="177"/>
      <c r="U42" s="177"/>
      <c r="V42" s="177"/>
      <c r="W42" s="177"/>
      <c r="X42" s="177"/>
      <c r="Y42" s="177"/>
      <c r="Z42" s="177"/>
      <c r="AA42" s="177"/>
      <c r="AB42" s="177"/>
      <c r="AC42" s="177"/>
      <c r="AD42" s="177"/>
      <c r="AE42" s="177"/>
      <c r="AF42" s="177"/>
      <c r="AG42" s="177"/>
      <c r="AH42" s="177"/>
    </row>
    <row r="43" ht="48.65" customHeight="1" spans="1:34">
      <c r="A43" s="240"/>
      <c r="B43" s="249" t="str">
        <f ca="1">OFFSET(L!$C$1,MATCH("Declaration"&amp;ADDRESS(ROW(),COLUMN(),4),L!$A:$A,0)-1,SL,,)&amp;Q$37</f>
        <v>4) Do any of the smelters in your supply chain source the 3TG from conflict-affected and high-risk areas? (*)</v>
      </c>
      <c r="C43" s="261"/>
      <c r="D43" s="264" t="str">
        <f ca="1">D25</f>
        <v>Answer</v>
      </c>
      <c r="E43" s="264"/>
      <c r="F43" s="251"/>
      <c r="G43" s="249" t="str">
        <f ca="1">G25</f>
        <v>Comments</v>
      </c>
      <c r="H43" s="249"/>
      <c r="I43" s="249"/>
      <c r="J43" s="252"/>
      <c r="K43" s="184"/>
      <c r="L43" s="246"/>
      <c r="P43" s="193">
        <f>COUNTIF(D$26:D$29,"No")+COUNTIF(D$32:D$35,"No")</f>
        <v>3</v>
      </c>
      <c r="Q43" s="193" t="str">
        <f>IF(P43&gt;3,""," (*)")</f>
        <v> (*)</v>
      </c>
      <c r="R43" s="177"/>
      <c r="S43" s="177"/>
      <c r="T43" s="177"/>
      <c r="U43" s="177"/>
      <c r="V43" s="177"/>
      <c r="W43" s="177"/>
      <c r="X43" s="177"/>
      <c r="Y43" s="177"/>
      <c r="Z43" s="177"/>
      <c r="AA43" s="177"/>
      <c r="AB43" s="177"/>
      <c r="AC43" s="177"/>
      <c r="AD43" s="177"/>
      <c r="AE43" s="177"/>
      <c r="AF43" s="177"/>
      <c r="AG43" s="177"/>
      <c r="AH43" s="177"/>
    </row>
    <row r="44" ht="23.15" customHeight="1" spans="1:34">
      <c r="A44" s="240"/>
      <c r="B44" s="220" t="str">
        <f ca="1">OFFSET(L!$C$1,MATCH("Declaration"&amp;ADDRESS(ROW(),COLUMN(),4),L!$A:$A,0)-1,SL,,)&amp;P44</f>
        <v>Tantalum  </v>
      </c>
      <c r="C44" s="261"/>
      <c r="D44" s="253"/>
      <c r="E44" s="254"/>
      <c r="F44" s="267"/>
      <c r="G44" s="256"/>
      <c r="H44" s="257"/>
      <c r="I44" s="257"/>
      <c r="J44" s="258"/>
      <c r="K44" s="184"/>
      <c r="L44" s="246"/>
      <c r="P44" s="193" t="str">
        <f>IF((OR(D$26="No",D$32="No")),"","(*)")</f>
        <v/>
      </c>
      <c r="Q44" s="177"/>
      <c r="R44" s="177"/>
      <c r="S44" s="177"/>
      <c r="T44" s="177"/>
      <c r="U44" s="177"/>
      <c r="V44" s="177"/>
      <c r="W44" s="177"/>
      <c r="X44" s="177"/>
      <c r="Y44" s="177"/>
      <c r="Z44" s="177"/>
      <c r="AA44" s="177"/>
      <c r="AB44" s="177"/>
      <c r="AC44" s="177"/>
      <c r="AD44" s="177"/>
      <c r="AE44" s="177"/>
      <c r="AF44" s="177"/>
      <c r="AG44" s="177"/>
      <c r="AH44" s="177"/>
    </row>
    <row r="45" ht="23.15" customHeight="1" spans="1:34">
      <c r="A45" s="240"/>
      <c r="B45" s="220" t="str">
        <f ca="1">OFFSET(L!$C$1,MATCH("Declaration"&amp;ADDRESS(ROW(),COLUMN(),4),L!$A:$A,0)-1,SL,,)&amp;P45</f>
        <v>Tin  (*)</v>
      </c>
      <c r="C45" s="261"/>
      <c r="D45" s="253" t="s">
        <v>129</v>
      </c>
      <c r="E45" s="254"/>
      <c r="F45" s="267"/>
      <c r="G45" s="256"/>
      <c r="H45" s="257"/>
      <c r="I45" s="257"/>
      <c r="J45" s="258"/>
      <c r="K45" s="184"/>
      <c r="L45" s="246"/>
      <c r="P45" s="193" t="str">
        <f>IF((OR(D$27="No",D$33="No")),"","(*)")</f>
        <v>(*)</v>
      </c>
      <c r="Q45" s="177"/>
      <c r="R45" s="177"/>
      <c r="S45" s="177"/>
      <c r="T45" s="177"/>
      <c r="U45" s="177"/>
      <c r="V45" s="177"/>
      <c r="W45" s="177"/>
      <c r="X45" s="177"/>
      <c r="Y45" s="177"/>
      <c r="Z45" s="177"/>
      <c r="AA45" s="177"/>
      <c r="AB45" s="177"/>
      <c r="AC45" s="177"/>
      <c r="AD45" s="177"/>
      <c r="AE45" s="177"/>
      <c r="AF45" s="177"/>
      <c r="AG45" s="177"/>
      <c r="AH45" s="177"/>
    </row>
    <row r="46" ht="23.15" customHeight="1" spans="1:34">
      <c r="A46" s="240"/>
      <c r="B46" s="220" t="str">
        <f ca="1">OFFSET(L!$C$1,MATCH("Declaration"&amp;ADDRESS(ROW(),COLUMN(),4),L!$A:$A,0)-1,SL,,)&amp;P46</f>
        <v>Gold  </v>
      </c>
      <c r="C46" s="261"/>
      <c r="D46" s="253"/>
      <c r="E46" s="254"/>
      <c r="F46" s="267"/>
      <c r="G46" s="256"/>
      <c r="H46" s="257"/>
      <c r="I46" s="257"/>
      <c r="J46" s="258"/>
      <c r="K46" s="184"/>
      <c r="L46" s="246"/>
      <c r="P46" s="193" t="str">
        <f>IF((OR(D$28="No",D$34="No")),"","(*)")</f>
        <v/>
      </c>
      <c r="Q46" s="177"/>
      <c r="R46" s="177"/>
      <c r="S46" s="177"/>
      <c r="T46" s="177"/>
      <c r="U46" s="177"/>
      <c r="V46" s="177"/>
      <c r="W46" s="177"/>
      <c r="X46" s="177"/>
      <c r="Y46" s="177"/>
      <c r="Z46" s="177"/>
      <c r="AA46" s="177"/>
      <c r="AB46" s="177"/>
      <c r="AC46" s="177"/>
      <c r="AD46" s="177"/>
      <c r="AE46" s="177"/>
      <c r="AF46" s="177"/>
      <c r="AG46" s="177"/>
      <c r="AH46" s="177"/>
    </row>
    <row r="47" ht="23.15" customHeight="1" spans="1:34">
      <c r="A47" s="240"/>
      <c r="B47" s="220" t="str">
        <f ca="1">OFFSET(L!$C$1,MATCH("Declaration"&amp;ADDRESS(ROW(),COLUMN(),4),L!$A:$A,0)-1,SL,,)&amp;P47</f>
        <v>Tungsten  </v>
      </c>
      <c r="C47" s="261"/>
      <c r="D47" s="253"/>
      <c r="E47" s="254"/>
      <c r="F47" s="267"/>
      <c r="G47" s="256"/>
      <c r="H47" s="257"/>
      <c r="I47" s="257"/>
      <c r="J47" s="258"/>
      <c r="K47" s="184"/>
      <c r="L47" s="246"/>
      <c r="P47" s="193" t="str">
        <f>IF((OR(D$29="No",D$35="No")),"","(*)")</f>
        <v/>
      </c>
      <c r="Q47" s="177"/>
      <c r="R47" s="177"/>
      <c r="S47" s="177"/>
      <c r="T47" s="177"/>
      <c r="U47" s="177"/>
      <c r="V47" s="177"/>
      <c r="W47" s="177"/>
      <c r="X47" s="177"/>
      <c r="Y47" s="177"/>
      <c r="Z47" s="177"/>
      <c r="AA47" s="177"/>
      <c r="AB47" s="177"/>
      <c r="AC47" s="177"/>
      <c r="AD47" s="177"/>
      <c r="AE47" s="177"/>
      <c r="AF47" s="177"/>
      <c r="AG47" s="177"/>
      <c r="AH47" s="177"/>
    </row>
    <row r="48" ht="23.15" customHeight="1" spans="1:34">
      <c r="A48" s="240"/>
      <c r="B48" s="262"/>
      <c r="C48" s="261"/>
      <c r="D48" s="262"/>
      <c r="E48" s="262"/>
      <c r="F48" s="268"/>
      <c r="G48" s="262"/>
      <c r="H48" s="263"/>
      <c r="I48" s="263"/>
      <c r="J48" s="263"/>
      <c r="K48" s="184"/>
      <c r="L48" s="246"/>
      <c r="R48" s="177"/>
      <c r="S48" s="177"/>
      <c r="T48" s="177"/>
      <c r="U48" s="177"/>
      <c r="V48" s="177"/>
      <c r="W48" s="177"/>
      <c r="X48" s="177"/>
      <c r="Y48" s="177"/>
      <c r="Z48" s="177"/>
      <c r="AA48" s="177"/>
      <c r="AB48" s="177"/>
      <c r="AC48" s="177"/>
      <c r="AD48" s="177"/>
      <c r="AE48" s="177"/>
      <c r="AF48" s="177"/>
      <c r="AG48" s="177"/>
      <c r="AH48" s="177"/>
    </row>
    <row r="49" ht="48.65" customHeight="1" spans="1:34">
      <c r="A49" s="240"/>
      <c r="B49" s="249" t="str">
        <f ca="1">OFFSET(L!$C$1,MATCH("Declaration"&amp;ADDRESS(ROW(),COLUMN(),4),L!$A:$A,0)-1,SL,,)&amp;Q$37</f>
        <v>5) Does 100 percent of the 3TG (necessary to the functionality or production of your products) originate from recycled or scrap sources?  (*)</v>
      </c>
      <c r="C49" s="261"/>
      <c r="D49" s="264" t="str">
        <f ca="1">D25</f>
        <v>Answer</v>
      </c>
      <c r="E49" s="264"/>
      <c r="F49" s="251"/>
      <c r="G49" s="249" t="str">
        <f ca="1">G25</f>
        <v>Comments</v>
      </c>
      <c r="H49" s="249"/>
      <c r="I49" s="249"/>
      <c r="J49" s="252"/>
      <c r="K49" s="184"/>
      <c r="L49" s="246" t="s">
        <v>106</v>
      </c>
      <c r="P49" s="177"/>
      <c r="Q49" s="177"/>
      <c r="R49" s="177"/>
      <c r="S49" s="177"/>
      <c r="T49" s="177"/>
      <c r="U49" s="177"/>
      <c r="V49" s="177"/>
      <c r="W49" s="177"/>
      <c r="X49" s="177"/>
      <c r="Y49" s="177"/>
      <c r="Z49" s="177"/>
      <c r="AA49" s="177"/>
      <c r="AB49" s="177"/>
      <c r="AC49" s="177"/>
      <c r="AD49" s="177"/>
      <c r="AE49" s="177"/>
      <c r="AF49" s="177"/>
      <c r="AG49" s="177"/>
      <c r="AH49" s="177"/>
    </row>
    <row r="50" ht="23" spans="1:34">
      <c r="A50" s="240"/>
      <c r="B50" s="220" t="str">
        <f ca="1">B38</f>
        <v>Tantalum  </v>
      </c>
      <c r="C50" s="261"/>
      <c r="D50" s="253"/>
      <c r="E50" s="254"/>
      <c r="F50" s="267"/>
      <c r="G50" s="256"/>
      <c r="H50" s="257"/>
      <c r="I50" s="257"/>
      <c r="J50" s="258"/>
      <c r="K50" s="184"/>
      <c r="L50" s="259"/>
      <c r="P50" s="177"/>
      <c r="Q50" s="177"/>
      <c r="R50" s="177"/>
      <c r="S50" s="177"/>
      <c r="T50" s="177"/>
      <c r="U50" s="177"/>
      <c r="V50" s="177"/>
      <c r="W50" s="177"/>
      <c r="X50" s="177"/>
      <c r="Y50" s="177"/>
      <c r="Z50" s="177"/>
      <c r="AA50" s="177"/>
      <c r="AB50" s="177"/>
      <c r="AC50" s="177"/>
      <c r="AD50" s="177"/>
      <c r="AE50" s="177"/>
      <c r="AF50" s="177"/>
      <c r="AG50" s="177"/>
      <c r="AH50" s="177"/>
    </row>
    <row r="51" ht="23" spans="1:34">
      <c r="A51" s="240"/>
      <c r="B51" s="220" t="str">
        <f ca="1">B39</f>
        <v>Tin  (*)</v>
      </c>
      <c r="C51" s="261"/>
      <c r="D51" s="253" t="s">
        <v>129</v>
      </c>
      <c r="E51" s="254"/>
      <c r="F51" s="267"/>
      <c r="G51" s="256"/>
      <c r="H51" s="257"/>
      <c r="I51" s="257"/>
      <c r="J51" s="258"/>
      <c r="K51" s="184"/>
      <c r="L51" s="259"/>
      <c r="P51" s="177"/>
      <c r="Q51" s="177"/>
      <c r="R51" s="177"/>
      <c r="S51" s="177"/>
      <c r="T51" s="177"/>
      <c r="U51" s="177"/>
      <c r="V51" s="177"/>
      <c r="W51" s="177"/>
      <c r="X51" s="177"/>
      <c r="Y51" s="177"/>
      <c r="Z51" s="177"/>
      <c r="AA51" s="177"/>
      <c r="AB51" s="177"/>
      <c r="AC51" s="177"/>
      <c r="AD51" s="177"/>
      <c r="AE51" s="177"/>
      <c r="AF51" s="177"/>
      <c r="AG51" s="177"/>
      <c r="AH51" s="177"/>
    </row>
    <row r="52" ht="23" spans="1:34">
      <c r="A52" s="240"/>
      <c r="B52" s="220" t="str">
        <f ca="1">B40</f>
        <v>Gold  </v>
      </c>
      <c r="C52" s="261"/>
      <c r="D52" s="253"/>
      <c r="E52" s="254"/>
      <c r="F52" s="267"/>
      <c r="G52" s="256"/>
      <c r="H52" s="257"/>
      <c r="I52" s="257"/>
      <c r="J52" s="258"/>
      <c r="K52" s="184"/>
      <c r="L52" s="259"/>
      <c r="P52" s="177"/>
      <c r="Q52" s="177"/>
      <c r="R52" s="177"/>
      <c r="S52" s="177"/>
      <c r="T52" s="177"/>
      <c r="U52" s="177"/>
      <c r="V52" s="177"/>
      <c r="W52" s="177"/>
      <c r="X52" s="177"/>
      <c r="Y52" s="177"/>
      <c r="Z52" s="177"/>
      <c r="AA52" s="177"/>
      <c r="AB52" s="177"/>
      <c r="AC52" s="177"/>
      <c r="AD52" s="177"/>
      <c r="AE52" s="177"/>
      <c r="AF52" s="177"/>
      <c r="AG52" s="177"/>
      <c r="AH52" s="177"/>
    </row>
    <row r="53" ht="23" spans="1:34">
      <c r="A53" s="240"/>
      <c r="B53" s="220" t="str">
        <f ca="1">B41</f>
        <v>Tungsten  </v>
      </c>
      <c r="C53" s="261"/>
      <c r="D53" s="253"/>
      <c r="E53" s="254"/>
      <c r="F53" s="267"/>
      <c r="G53" s="256"/>
      <c r="H53" s="257"/>
      <c r="I53" s="257"/>
      <c r="J53" s="258"/>
      <c r="K53" s="184"/>
      <c r="L53" s="259"/>
      <c r="P53" s="177"/>
      <c r="Q53" s="177"/>
      <c r="R53" s="177"/>
      <c r="S53" s="177"/>
      <c r="T53" s="177"/>
      <c r="U53" s="177"/>
      <c r="V53" s="177"/>
      <c r="W53" s="177"/>
      <c r="X53" s="177"/>
      <c r="Y53" s="177"/>
      <c r="Z53" s="177"/>
      <c r="AA53" s="177"/>
      <c r="AB53" s="177"/>
      <c r="AC53" s="177"/>
      <c r="AD53" s="177"/>
      <c r="AE53" s="177"/>
      <c r="AF53" s="177"/>
      <c r="AG53" s="177"/>
      <c r="AH53" s="177"/>
    </row>
    <row r="54" ht="17.5" spans="1:34">
      <c r="A54" s="240"/>
      <c r="B54" s="262"/>
      <c r="C54" s="261"/>
      <c r="D54" s="262"/>
      <c r="E54" s="262"/>
      <c r="F54" s="268"/>
      <c r="G54" s="262"/>
      <c r="H54" s="263"/>
      <c r="I54" s="263"/>
      <c r="J54" s="263"/>
      <c r="K54" s="184"/>
      <c r="L54" s="246"/>
      <c r="P54" s="177"/>
      <c r="Q54" s="177"/>
      <c r="R54" s="177"/>
      <c r="S54" s="177"/>
      <c r="T54" s="177"/>
      <c r="U54" s="177"/>
      <c r="V54" s="177"/>
      <c r="W54" s="177"/>
      <c r="X54" s="177"/>
      <c r="Y54" s="177"/>
      <c r="Z54" s="177"/>
      <c r="AA54" s="177"/>
      <c r="AB54" s="177"/>
      <c r="AC54" s="177"/>
      <c r="AD54" s="177"/>
      <c r="AE54" s="177"/>
      <c r="AF54" s="177"/>
      <c r="AG54" s="177"/>
      <c r="AH54" s="177"/>
    </row>
    <row r="55" ht="48.65" customHeight="1" spans="1:34">
      <c r="A55" s="240"/>
      <c r="B55" s="264" t="str">
        <f ca="1">OFFSET(L!$C$1,MATCH("Declaration"&amp;ADDRESS(ROW(),COLUMN(),4),L!$A:$A,0)-1,SL,,)&amp;Q$37</f>
        <v>6) What percentage of relevant suppliers have provided a response to your supply chain survey?  (*)</v>
      </c>
      <c r="C55" s="261"/>
      <c r="D55" s="264" t="str">
        <f ca="1">D25</f>
        <v>Answer</v>
      </c>
      <c r="E55" s="264"/>
      <c r="F55" s="251"/>
      <c r="G55" s="249" t="str">
        <f ca="1">G25</f>
        <v>Comments</v>
      </c>
      <c r="H55" s="270"/>
      <c r="I55" s="270"/>
      <c r="J55" s="270"/>
      <c r="K55" s="184"/>
      <c r="L55" s="246" t="s">
        <v>106</v>
      </c>
      <c r="P55" s="177"/>
      <c r="Q55" s="177"/>
      <c r="R55" s="177"/>
      <c r="S55" s="177"/>
      <c r="T55" s="177"/>
      <c r="U55" s="177"/>
      <c r="V55" s="177"/>
      <c r="W55" s="177"/>
      <c r="X55" s="177"/>
      <c r="Y55" s="177"/>
      <c r="Z55" s="177"/>
      <c r="AA55" s="177"/>
      <c r="AB55" s="177"/>
      <c r="AC55" s="177"/>
      <c r="AD55" s="177"/>
      <c r="AE55" s="177"/>
      <c r="AF55" s="177"/>
      <c r="AG55" s="177"/>
      <c r="AH55" s="177"/>
    </row>
    <row r="56" ht="23" spans="1:34">
      <c r="A56" s="240"/>
      <c r="B56" s="220" t="str">
        <f ca="1">B38</f>
        <v>Tantalum  </v>
      </c>
      <c r="C56" s="180"/>
      <c r="D56" s="271"/>
      <c r="E56" s="272"/>
      <c r="F56" s="267"/>
      <c r="G56" s="256"/>
      <c r="H56" s="257"/>
      <c r="I56" s="257"/>
      <c r="J56" s="258"/>
      <c r="K56" s="184"/>
      <c r="L56" s="259"/>
      <c r="P56" s="177"/>
      <c r="Q56" s="177"/>
      <c r="R56" s="177"/>
      <c r="S56" s="177"/>
      <c r="T56" s="177"/>
      <c r="U56" s="177"/>
      <c r="V56" s="177"/>
      <c r="W56" s="177"/>
      <c r="X56" s="177"/>
      <c r="Y56" s="177"/>
      <c r="Z56" s="177"/>
      <c r="AA56" s="177"/>
      <c r="AB56" s="177"/>
      <c r="AC56" s="177"/>
      <c r="AD56" s="177"/>
      <c r="AE56" s="177"/>
      <c r="AF56" s="177"/>
      <c r="AG56" s="177"/>
      <c r="AH56" s="177"/>
    </row>
    <row r="57" ht="23" spans="1:34">
      <c r="A57" s="240"/>
      <c r="B57" s="220" t="str">
        <f ca="1">B39</f>
        <v>Tin  (*)</v>
      </c>
      <c r="C57" s="180"/>
      <c r="D57" s="271" t="s">
        <v>131</v>
      </c>
      <c r="E57" s="272"/>
      <c r="F57" s="267"/>
      <c r="G57" s="256"/>
      <c r="H57" s="257"/>
      <c r="I57" s="257"/>
      <c r="J57" s="258"/>
      <c r="K57" s="184"/>
      <c r="L57" s="259"/>
      <c r="P57" s="177"/>
      <c r="Q57" s="177"/>
      <c r="R57" s="177"/>
      <c r="S57" s="177"/>
      <c r="T57" s="177"/>
      <c r="U57" s="177"/>
      <c r="V57" s="177"/>
      <c r="W57" s="177"/>
      <c r="X57" s="177"/>
      <c r="Y57" s="177"/>
      <c r="Z57" s="177"/>
      <c r="AA57" s="177"/>
      <c r="AB57" s="177"/>
      <c r="AC57" s="177"/>
      <c r="AD57" s="177"/>
      <c r="AE57" s="177"/>
      <c r="AF57" s="177"/>
      <c r="AG57" s="177"/>
      <c r="AH57" s="177"/>
    </row>
    <row r="58" ht="23" spans="1:34">
      <c r="A58" s="240"/>
      <c r="B58" s="220" t="str">
        <f ca="1">B40</f>
        <v>Gold  </v>
      </c>
      <c r="C58" s="180"/>
      <c r="D58" s="271"/>
      <c r="E58" s="272"/>
      <c r="F58" s="267"/>
      <c r="G58" s="256"/>
      <c r="H58" s="257"/>
      <c r="I58" s="257"/>
      <c r="J58" s="258"/>
      <c r="K58" s="184"/>
      <c r="L58" s="259"/>
      <c r="P58" s="177"/>
      <c r="Q58" s="177"/>
      <c r="R58" s="177"/>
      <c r="S58" s="177"/>
      <c r="T58" s="177"/>
      <c r="U58" s="177"/>
      <c r="V58" s="177"/>
      <c r="W58" s="177"/>
      <c r="X58" s="177"/>
      <c r="Y58" s="177"/>
      <c r="Z58" s="177"/>
      <c r="AA58" s="177"/>
      <c r="AB58" s="177"/>
      <c r="AC58" s="177"/>
      <c r="AD58" s="177"/>
      <c r="AE58" s="177"/>
      <c r="AF58" s="177"/>
      <c r="AG58" s="177"/>
      <c r="AH58" s="177"/>
    </row>
    <row r="59" ht="23" spans="1:34">
      <c r="A59" s="240"/>
      <c r="B59" s="220" t="str">
        <f ca="1">B41</f>
        <v>Tungsten  </v>
      </c>
      <c r="C59" s="180"/>
      <c r="D59" s="271"/>
      <c r="E59" s="272"/>
      <c r="F59" s="267"/>
      <c r="G59" s="256"/>
      <c r="H59" s="257"/>
      <c r="I59" s="257"/>
      <c r="J59" s="258"/>
      <c r="K59" s="184"/>
      <c r="L59" s="259"/>
      <c r="P59" s="177"/>
      <c r="Q59" s="177"/>
      <c r="R59" s="177"/>
      <c r="S59" s="177"/>
      <c r="T59" s="177"/>
      <c r="U59" s="177"/>
      <c r="V59" s="177"/>
      <c r="W59" s="177"/>
      <c r="X59" s="177"/>
      <c r="Y59" s="177"/>
      <c r="Z59" s="177"/>
      <c r="AA59" s="177"/>
      <c r="AB59" s="177"/>
      <c r="AC59" s="177"/>
      <c r="AD59" s="177"/>
      <c r="AE59" s="177"/>
      <c r="AF59" s="177"/>
      <c r="AG59" s="177"/>
      <c r="AH59" s="177"/>
    </row>
    <row r="60" ht="15" spans="1:34">
      <c r="A60" s="240"/>
      <c r="B60" s="260"/>
      <c r="C60" s="261"/>
      <c r="D60" s="273"/>
      <c r="E60" s="273"/>
      <c r="F60" s="268"/>
      <c r="G60" s="274"/>
      <c r="H60" s="274"/>
      <c r="I60" s="274"/>
      <c r="J60" s="274"/>
      <c r="K60" s="184"/>
      <c r="L60" s="246"/>
      <c r="M60" s="12"/>
      <c r="P60" s="177"/>
      <c r="Q60" s="177"/>
      <c r="R60" s="177"/>
      <c r="S60" s="177"/>
      <c r="T60" s="177"/>
      <c r="U60" s="177"/>
      <c r="V60" s="177"/>
      <c r="W60" s="177"/>
      <c r="X60" s="177"/>
      <c r="Y60" s="177"/>
      <c r="Z60" s="177"/>
      <c r="AA60" s="177"/>
      <c r="AB60" s="177"/>
      <c r="AC60" s="177"/>
      <c r="AD60" s="177"/>
      <c r="AE60" s="177"/>
      <c r="AF60" s="177"/>
      <c r="AG60" s="177"/>
      <c r="AH60" s="177"/>
    </row>
    <row r="61" ht="48.65" customHeight="1" spans="1:34">
      <c r="A61" s="240"/>
      <c r="B61" s="264" t="str">
        <f ca="1">OFFSET(L!$C$1,MATCH("Declaration"&amp;ADDRESS(ROW(),COLUMN(),4),L!$A:$A,0)-1,SL,,)&amp;Q$37</f>
        <v>7) Have you identified all of the smelters supplying the 3TG to your supply chain?  (*)</v>
      </c>
      <c r="C61" s="261"/>
      <c r="D61" s="264" t="str">
        <f ca="1">D25</f>
        <v>Answer</v>
      </c>
      <c r="E61" s="264"/>
      <c r="F61" s="251"/>
      <c r="G61" s="249" t="str">
        <f ca="1">G25</f>
        <v>Comments</v>
      </c>
      <c r="H61" s="275"/>
      <c r="I61" s="275"/>
      <c r="J61" s="275"/>
      <c r="K61" s="184"/>
      <c r="L61" s="246" t="s">
        <v>109</v>
      </c>
      <c r="M61" s="12"/>
      <c r="P61" s="177"/>
      <c r="Q61" s="177"/>
      <c r="R61" s="177"/>
      <c r="S61" s="177"/>
      <c r="T61" s="177"/>
      <c r="U61" s="177"/>
      <c r="V61" s="177"/>
      <c r="W61" s="177"/>
      <c r="X61" s="177"/>
      <c r="Y61" s="177"/>
      <c r="Z61" s="177"/>
      <c r="AA61" s="177"/>
      <c r="AB61" s="177"/>
      <c r="AC61" s="177"/>
      <c r="AD61" s="177"/>
      <c r="AE61" s="177"/>
      <c r="AF61" s="177"/>
      <c r="AG61" s="177"/>
      <c r="AH61" s="177"/>
    </row>
    <row r="62" ht="23" spans="1:34">
      <c r="A62" s="240"/>
      <c r="B62" s="220" t="str">
        <f ca="1">B38</f>
        <v>Tantalum  </v>
      </c>
      <c r="C62" s="261"/>
      <c r="D62" s="265"/>
      <c r="E62" s="266"/>
      <c r="F62" s="267"/>
      <c r="G62" s="256"/>
      <c r="H62" s="257"/>
      <c r="I62" s="257"/>
      <c r="J62" s="258"/>
      <c r="K62" s="184"/>
      <c r="L62" s="259"/>
      <c r="P62" s="177"/>
      <c r="Q62" s="177"/>
      <c r="R62" s="177"/>
      <c r="S62" s="177"/>
      <c r="T62" s="177"/>
      <c r="U62" s="177"/>
      <c r="V62" s="177"/>
      <c r="W62" s="177"/>
      <c r="X62" s="177"/>
      <c r="Y62" s="177"/>
      <c r="Z62" s="177"/>
      <c r="AA62" s="177"/>
      <c r="AB62" s="177"/>
      <c r="AC62" s="177"/>
      <c r="AD62" s="177"/>
      <c r="AE62" s="177"/>
      <c r="AF62" s="177"/>
      <c r="AG62" s="177"/>
      <c r="AH62" s="177"/>
    </row>
    <row r="63" ht="23" spans="1:34">
      <c r="A63" s="240"/>
      <c r="B63" s="220" t="str">
        <f ca="1">B39</f>
        <v>Tin  (*)</v>
      </c>
      <c r="C63" s="261"/>
      <c r="D63" s="253" t="s">
        <v>130</v>
      </c>
      <c r="E63" s="254"/>
      <c r="F63" s="267"/>
      <c r="G63" s="256"/>
      <c r="H63" s="257"/>
      <c r="I63" s="257"/>
      <c r="J63" s="258"/>
      <c r="K63" s="184"/>
      <c r="L63" s="259"/>
      <c r="P63" s="177"/>
      <c r="Q63" s="177"/>
      <c r="R63" s="177"/>
      <c r="S63" s="177"/>
      <c r="T63" s="177"/>
      <c r="U63" s="177"/>
      <c r="V63" s="177"/>
      <c r="W63" s="177"/>
      <c r="X63" s="177"/>
      <c r="Y63" s="177"/>
      <c r="Z63" s="177"/>
      <c r="AA63" s="177"/>
      <c r="AB63" s="177"/>
      <c r="AC63" s="177"/>
      <c r="AD63" s="177"/>
      <c r="AE63" s="177"/>
      <c r="AF63" s="177"/>
      <c r="AG63" s="177"/>
      <c r="AH63" s="177"/>
    </row>
    <row r="64" ht="23" spans="1:34">
      <c r="A64" s="240"/>
      <c r="B64" s="220" t="str">
        <f ca="1">B40</f>
        <v>Gold  </v>
      </c>
      <c r="C64" s="261"/>
      <c r="D64" s="253"/>
      <c r="E64" s="254"/>
      <c r="F64" s="267"/>
      <c r="G64" s="256"/>
      <c r="H64" s="257"/>
      <c r="I64" s="257"/>
      <c r="J64" s="258"/>
      <c r="K64" s="184"/>
      <c r="L64" s="259"/>
      <c r="P64" s="177"/>
      <c r="Q64" s="177"/>
      <c r="R64" s="177"/>
      <c r="S64" s="177"/>
      <c r="T64" s="177"/>
      <c r="U64" s="177"/>
      <c r="V64" s="177"/>
      <c r="W64" s="177"/>
      <c r="X64" s="177"/>
      <c r="Y64" s="177"/>
      <c r="Z64" s="177"/>
      <c r="AA64" s="177"/>
      <c r="AB64" s="177"/>
      <c r="AC64" s="177"/>
      <c r="AD64" s="177"/>
      <c r="AE64" s="177"/>
      <c r="AF64" s="177"/>
      <c r="AG64" s="177"/>
      <c r="AH64" s="177"/>
    </row>
    <row r="65" ht="23" spans="1:34">
      <c r="A65" s="240"/>
      <c r="B65" s="220" t="str">
        <f ca="1">B41</f>
        <v>Tungsten  </v>
      </c>
      <c r="C65" s="261"/>
      <c r="D65" s="253"/>
      <c r="E65" s="254"/>
      <c r="F65" s="267"/>
      <c r="G65" s="256"/>
      <c r="H65" s="257"/>
      <c r="I65" s="257"/>
      <c r="J65" s="258"/>
      <c r="K65" s="184"/>
      <c r="L65" s="259"/>
      <c r="P65" s="177"/>
      <c r="Q65" s="177"/>
      <c r="R65" s="177"/>
      <c r="S65" s="177"/>
      <c r="T65" s="177"/>
      <c r="U65" s="177"/>
      <c r="V65" s="177"/>
      <c r="W65" s="177"/>
      <c r="X65" s="177"/>
      <c r="Y65" s="177"/>
      <c r="Z65" s="177"/>
      <c r="AA65" s="177"/>
      <c r="AB65" s="177"/>
      <c r="AC65" s="177"/>
      <c r="AD65" s="177"/>
      <c r="AE65" s="177"/>
      <c r="AF65" s="177"/>
      <c r="AG65" s="177"/>
      <c r="AH65" s="177"/>
    </row>
    <row r="66" ht="15" spans="1:34">
      <c r="A66" s="240"/>
      <c r="B66" s="262"/>
      <c r="C66" s="261"/>
      <c r="D66" s="276"/>
      <c r="E66" s="276"/>
      <c r="F66" s="268"/>
      <c r="G66" s="277"/>
      <c r="H66" s="277"/>
      <c r="I66" s="277"/>
      <c r="J66" s="277"/>
      <c r="K66" s="184"/>
      <c r="L66" s="246"/>
      <c r="M66" s="12"/>
      <c r="P66" s="177"/>
      <c r="Q66" s="177"/>
      <c r="R66" s="177"/>
      <c r="S66" s="177"/>
      <c r="T66" s="177"/>
      <c r="U66" s="177"/>
      <c r="V66" s="177"/>
      <c r="W66" s="177"/>
      <c r="X66" s="177"/>
      <c r="Y66" s="177"/>
      <c r="Z66" s="177"/>
      <c r="AA66" s="177"/>
      <c r="AB66" s="177"/>
      <c r="AC66" s="177"/>
      <c r="AD66" s="177"/>
      <c r="AE66" s="177"/>
      <c r="AF66" s="177"/>
      <c r="AG66" s="177"/>
      <c r="AH66" s="177"/>
    </row>
    <row r="67" ht="48.65" customHeight="1" spans="1:34">
      <c r="A67" s="240"/>
      <c r="B67" s="249" t="str">
        <f ca="1">OFFSET(L!$C$1,MATCH("Declaration"&amp;ADDRESS(ROW(),COLUMN(),4),L!$A:$A,0)-1,SL,,)&amp;Q$37</f>
        <v>8) Has all applicable smelter information received by your company been reported in this declaration?  (*)</v>
      </c>
      <c r="C67" s="261"/>
      <c r="D67" s="264" t="str">
        <f ca="1">D25</f>
        <v>Answer</v>
      </c>
      <c r="E67" s="264"/>
      <c r="F67" s="251"/>
      <c r="G67" s="249" t="str">
        <f ca="1">G25</f>
        <v>Comments</v>
      </c>
      <c r="H67" s="275" t="str">
        <f>IF(Q75="(*)","Click here to enter smelter names","")</f>
        <v/>
      </c>
      <c r="I67" s="275"/>
      <c r="J67" s="275"/>
      <c r="K67" s="184"/>
      <c r="L67" s="246" t="s">
        <v>109</v>
      </c>
      <c r="M67" s="12"/>
      <c r="P67" s="177"/>
      <c r="Q67" s="177"/>
      <c r="R67" s="177"/>
      <c r="S67" s="177"/>
      <c r="T67" s="177"/>
      <c r="U67" s="177"/>
      <c r="V67" s="177"/>
      <c r="W67" s="177"/>
      <c r="X67" s="177"/>
      <c r="Y67" s="177"/>
      <c r="Z67" s="177"/>
      <c r="AA67" s="177"/>
      <c r="AB67" s="177"/>
      <c r="AC67" s="177"/>
      <c r="AD67" s="177"/>
      <c r="AE67" s="177"/>
      <c r="AF67" s="177"/>
      <c r="AG67" s="177"/>
      <c r="AH67" s="177"/>
    </row>
    <row r="68" ht="23" spans="1:34">
      <c r="A68" s="240"/>
      <c r="B68" s="220" t="str">
        <f ca="1">B38</f>
        <v>Tantalum  </v>
      </c>
      <c r="C68" s="180"/>
      <c r="D68" s="253"/>
      <c r="E68" s="254"/>
      <c r="F68" s="278"/>
      <c r="G68" s="256"/>
      <c r="H68" s="257"/>
      <c r="I68" s="257"/>
      <c r="J68" s="258"/>
      <c r="K68" s="184"/>
      <c r="L68" s="259"/>
      <c r="P68" s="177"/>
      <c r="Q68" s="177"/>
      <c r="R68" s="177"/>
      <c r="S68" s="177"/>
      <c r="T68" s="177"/>
      <c r="U68" s="177"/>
      <c r="V68" s="177"/>
      <c r="W68" s="177"/>
      <c r="X68" s="177"/>
      <c r="Y68" s="177"/>
      <c r="Z68" s="177"/>
      <c r="AA68" s="177"/>
      <c r="AB68" s="177"/>
      <c r="AC68" s="177"/>
      <c r="AD68" s="177"/>
      <c r="AE68" s="177"/>
      <c r="AF68" s="177"/>
      <c r="AG68" s="177"/>
      <c r="AH68" s="177"/>
    </row>
    <row r="69" ht="23" spans="1:34">
      <c r="A69" s="240"/>
      <c r="B69" s="220" t="str">
        <f ca="1">B39</f>
        <v>Tin  (*)</v>
      </c>
      <c r="C69" s="180"/>
      <c r="D69" s="253" t="s">
        <v>130</v>
      </c>
      <c r="E69" s="254"/>
      <c r="F69" s="278"/>
      <c r="G69" s="256"/>
      <c r="H69" s="257"/>
      <c r="I69" s="257"/>
      <c r="J69" s="258"/>
      <c r="K69" s="184"/>
      <c r="L69" s="259"/>
      <c r="P69" s="177"/>
      <c r="Q69" s="177"/>
      <c r="R69" s="177"/>
      <c r="S69" s="177"/>
      <c r="T69" s="177"/>
      <c r="U69" s="177"/>
      <c r="V69" s="177"/>
      <c r="W69" s="177"/>
      <c r="X69" s="177"/>
      <c r="Y69" s="177"/>
      <c r="Z69" s="177"/>
      <c r="AA69" s="177"/>
      <c r="AB69" s="177"/>
      <c r="AC69" s="177"/>
      <c r="AD69" s="177"/>
      <c r="AE69" s="177"/>
      <c r="AF69" s="177"/>
      <c r="AG69" s="177"/>
      <c r="AH69" s="177"/>
    </row>
    <row r="70" ht="23" spans="1:34">
      <c r="A70" s="240"/>
      <c r="B70" s="220" t="str">
        <f ca="1">B40</f>
        <v>Gold  </v>
      </c>
      <c r="C70" s="180"/>
      <c r="D70" s="253" t="s">
        <v>130</v>
      </c>
      <c r="E70" s="254"/>
      <c r="F70" s="278"/>
      <c r="G70" s="256"/>
      <c r="H70" s="257"/>
      <c r="I70" s="257"/>
      <c r="J70" s="258"/>
      <c r="K70" s="184"/>
      <c r="L70" s="259"/>
      <c r="P70" s="177"/>
      <c r="Q70" s="177"/>
      <c r="R70" s="177"/>
      <c r="S70" s="177"/>
      <c r="T70" s="177"/>
      <c r="U70" s="177"/>
      <c r="V70" s="177"/>
      <c r="W70" s="177"/>
      <c r="X70" s="177"/>
      <c r="Y70" s="177"/>
      <c r="Z70" s="177"/>
      <c r="AA70" s="177"/>
      <c r="AB70" s="177"/>
      <c r="AC70" s="177"/>
      <c r="AD70" s="177"/>
      <c r="AE70" s="177"/>
      <c r="AF70" s="177"/>
      <c r="AG70" s="177"/>
      <c r="AH70" s="177"/>
    </row>
    <row r="71" ht="23" spans="1:34">
      <c r="A71" s="200"/>
      <c r="B71" s="220" t="str">
        <f ca="1">B41</f>
        <v>Tungsten  </v>
      </c>
      <c r="C71" s="279"/>
      <c r="D71" s="253" t="s">
        <v>130</v>
      </c>
      <c r="E71" s="254"/>
      <c r="F71" s="280"/>
      <c r="G71" s="256"/>
      <c r="H71" s="257"/>
      <c r="I71" s="257"/>
      <c r="J71" s="258"/>
      <c r="K71" s="206"/>
      <c r="L71" s="281"/>
      <c r="P71" s="177"/>
      <c r="Q71" s="177"/>
      <c r="R71" s="177"/>
      <c r="S71" s="177"/>
      <c r="T71" s="177"/>
      <c r="U71" s="177"/>
      <c r="V71" s="177"/>
      <c r="W71" s="177"/>
      <c r="X71" s="177"/>
      <c r="Y71" s="177"/>
      <c r="Z71" s="177"/>
      <c r="AA71" s="177"/>
      <c r="AB71" s="177"/>
      <c r="AC71" s="177"/>
      <c r="AD71" s="177"/>
      <c r="AE71" s="177"/>
      <c r="AF71" s="177"/>
      <c r="AG71" s="177"/>
      <c r="AH71" s="177"/>
    </row>
    <row r="72" ht="15" spans="1:34">
      <c r="A72" s="240"/>
      <c r="B72" s="242"/>
      <c r="C72" s="242"/>
      <c r="D72" s="242"/>
      <c r="E72" s="242"/>
      <c r="F72" s="242"/>
      <c r="G72" s="282"/>
      <c r="H72" s="282"/>
      <c r="I72" s="282"/>
      <c r="J72" s="282"/>
      <c r="K72" s="184"/>
      <c r="L72" s="176"/>
      <c r="P72" s="177"/>
      <c r="Q72" s="177"/>
      <c r="R72" s="177"/>
      <c r="S72" s="177"/>
      <c r="T72" s="177"/>
      <c r="U72" s="177"/>
      <c r="V72" s="177"/>
      <c r="W72" s="177"/>
      <c r="X72" s="177"/>
      <c r="Y72" s="177"/>
      <c r="Z72" s="177"/>
      <c r="AA72" s="177"/>
      <c r="AB72" s="177"/>
      <c r="AC72" s="177"/>
      <c r="AD72" s="177"/>
      <c r="AE72" s="177"/>
      <c r="AF72" s="177"/>
      <c r="AG72" s="177"/>
      <c r="AH72" s="177"/>
    </row>
    <row r="73" ht="15" spans="1:34">
      <c r="A73" s="240"/>
      <c r="B73" s="283" t="str">
        <f ca="1">OFFSET(L!$C$1,MATCH("Declaration"&amp;ADDRESS(ROW(),COLUMN(),4),L!$A:$A,0)-1,SL,,)</f>
        <v>Answer the Following Questions at a Company Level</v>
      </c>
      <c r="C73" s="283"/>
      <c r="D73" s="283"/>
      <c r="E73" s="283"/>
      <c r="F73" s="283"/>
      <c r="G73" s="283"/>
      <c r="H73" s="283"/>
      <c r="I73" s="283"/>
      <c r="J73" s="283"/>
      <c r="K73" s="184"/>
      <c r="L73" s="176"/>
      <c r="P73" s="177"/>
      <c r="Q73" s="177"/>
      <c r="R73" s="177"/>
      <c r="S73" s="177"/>
      <c r="T73" s="177"/>
      <c r="U73" s="177"/>
      <c r="V73" s="177"/>
      <c r="W73" s="177"/>
      <c r="X73" s="177"/>
      <c r="Y73" s="177"/>
      <c r="Z73" s="177"/>
      <c r="AA73" s="177"/>
      <c r="AB73" s="177"/>
      <c r="AC73" s="177"/>
      <c r="AD73" s="177"/>
      <c r="AE73" s="177"/>
      <c r="AF73" s="177"/>
      <c r="AG73" s="177"/>
      <c r="AH73" s="177"/>
    </row>
    <row r="74" ht="15" spans="1:34">
      <c r="A74" s="284"/>
      <c r="B74" s="285" t="str">
        <f ca="1">OFFSET(L!$C$1,MATCH("Declaration"&amp;ADDRESS(ROW(),COLUMN(),4),L!$A:$A,0)-1,SL,,)</f>
        <v>Question</v>
      </c>
      <c r="C74" s="286"/>
      <c r="D74" s="250" t="str">
        <f ca="1">D25</f>
        <v>Answer</v>
      </c>
      <c r="E74" s="250"/>
      <c r="F74" s="287"/>
      <c r="G74" s="250" t="str">
        <f ca="1">G25</f>
        <v>Comments</v>
      </c>
      <c r="H74" s="250" t="e">
        <f>HLOOKUP(SL,LT,$O74,0)</f>
        <v>#NAME?</v>
      </c>
      <c r="I74" s="250" t="e">
        <f>HLOOKUP(SL,LT,$O74,0)</f>
        <v>#NAME?</v>
      </c>
      <c r="J74" s="288"/>
      <c r="K74" s="289"/>
      <c r="L74" s="290"/>
      <c r="M74" s="12"/>
      <c r="P74" s="177"/>
      <c r="Q74" s="177"/>
      <c r="R74" s="177"/>
      <c r="S74" s="177"/>
      <c r="T74" s="177"/>
      <c r="U74" s="177"/>
      <c r="V74" s="177"/>
      <c r="W74" s="177"/>
      <c r="X74" s="177"/>
      <c r="Y74" s="177"/>
      <c r="Z74" s="177"/>
      <c r="AA74" s="177"/>
      <c r="AB74" s="177"/>
      <c r="AC74" s="177"/>
      <c r="AD74" s="177"/>
      <c r="AE74" s="177"/>
      <c r="AF74" s="177"/>
      <c r="AG74" s="177"/>
      <c r="AH74" s="177"/>
    </row>
    <row r="75" ht="30" spans="1:34">
      <c r="A75" s="240"/>
      <c r="B75" s="291" t="str">
        <f ca="1">OFFSET(L!$C$1,MATCH("Declaration"&amp;ADDRESS(ROW(),COLUMN(),4),L!$A:$A,0)-1,SL,,)&amp;$Q$37</f>
        <v>A. Have you established a responsible minerals sourcing policy? (*)</v>
      </c>
      <c r="C75" s="292"/>
      <c r="D75" s="253" t="s">
        <v>130</v>
      </c>
      <c r="E75" s="254"/>
      <c r="F75" s="292"/>
      <c r="G75" s="256"/>
      <c r="H75" s="257"/>
      <c r="I75" s="257"/>
      <c r="J75" s="258"/>
      <c r="K75" s="184"/>
      <c r="L75" s="290" t="s">
        <v>106</v>
      </c>
      <c r="M75" s="12"/>
      <c r="P75" s="177"/>
      <c r="Q75" s="177"/>
      <c r="R75" s="177"/>
      <c r="S75" s="177"/>
      <c r="T75" s="177"/>
      <c r="U75" s="177"/>
      <c r="V75" s="177"/>
      <c r="W75" s="177"/>
      <c r="X75" s="177"/>
      <c r="Y75" s="177"/>
      <c r="Z75" s="177"/>
      <c r="AA75" s="177"/>
      <c r="AB75" s="177"/>
      <c r="AC75" s="177"/>
      <c r="AD75" s="177"/>
      <c r="AE75" s="177"/>
      <c r="AF75" s="177"/>
      <c r="AG75" s="177"/>
      <c r="AH75" s="177"/>
    </row>
    <row r="76" ht="15" spans="1:34">
      <c r="A76" s="240"/>
      <c r="B76" s="293"/>
      <c r="C76" s="255"/>
      <c r="D76" s="294"/>
      <c r="E76" s="294"/>
      <c r="F76" s="255"/>
      <c r="G76" s="294"/>
      <c r="H76" s="294"/>
      <c r="I76" s="294"/>
      <c r="J76" s="294"/>
      <c r="K76" s="184"/>
      <c r="L76" s="290"/>
      <c r="M76" s="12"/>
      <c r="P76" s="177"/>
      <c r="Q76" s="177"/>
      <c r="R76" s="177"/>
      <c r="S76" s="177"/>
      <c r="T76" s="177"/>
      <c r="U76" s="177"/>
      <c r="V76" s="177"/>
      <c r="W76" s="177"/>
      <c r="X76" s="177"/>
      <c r="Y76" s="177"/>
      <c r="Z76" s="177"/>
      <c r="AA76" s="177"/>
      <c r="AB76" s="177"/>
      <c r="AC76" s="177"/>
      <c r="AD76" s="177"/>
      <c r="AE76" s="177"/>
      <c r="AF76" s="177"/>
      <c r="AG76" s="177"/>
      <c r="AH76" s="177"/>
    </row>
    <row r="77" ht="49.4" customHeight="1" spans="1:34">
      <c r="A77" s="240"/>
      <c r="B77" s="291" t="str">
        <f ca="1">OFFSET(L!$C$1,MATCH("Declaration"&amp;ADDRESS(ROW(),COLUMN(),4),L!$A:$A,0)-1,SL,,)&amp;$Q$37</f>
        <v>B. Is your responsible minerals sourcing policy publicly available on your website? (Note – If yes, the user shall specify the URL in the comment field.) (*)</v>
      </c>
      <c r="C77" s="292"/>
      <c r="D77" s="253" t="s">
        <v>130</v>
      </c>
      <c r="E77" s="254"/>
      <c r="F77" s="292"/>
      <c r="G77" s="295" t="s">
        <v>132</v>
      </c>
      <c r="H77" s="296"/>
      <c r="I77" s="296"/>
      <c r="J77" s="297"/>
      <c r="K77" s="184"/>
      <c r="L77" s="290" t="s">
        <v>106</v>
      </c>
      <c r="M77" s="12"/>
      <c r="P77" s="177"/>
      <c r="Q77" s="177"/>
      <c r="R77" s="177"/>
      <c r="S77" s="177"/>
      <c r="T77" s="177"/>
      <c r="U77" s="177"/>
      <c r="V77" s="177"/>
      <c r="W77" s="177"/>
      <c r="X77" s="177"/>
      <c r="Y77" s="177"/>
      <c r="Z77" s="177"/>
      <c r="AA77" s="177"/>
      <c r="AB77" s="177"/>
      <c r="AC77" s="177"/>
      <c r="AD77" s="177"/>
      <c r="AE77" s="177"/>
      <c r="AF77" s="177"/>
      <c r="AG77" s="177"/>
      <c r="AH77" s="177"/>
    </row>
    <row r="78" ht="15" spans="1:34">
      <c r="A78" s="240"/>
      <c r="B78" s="293"/>
      <c r="C78" s="255"/>
      <c r="D78" s="294"/>
      <c r="E78" s="294"/>
      <c r="F78" s="255"/>
      <c r="G78" s="298"/>
      <c r="H78" s="298"/>
      <c r="I78" s="298"/>
      <c r="J78" s="298"/>
      <c r="K78" s="184"/>
      <c r="L78" s="290"/>
      <c r="M78" s="12"/>
      <c r="P78" s="177"/>
      <c r="Q78" s="177"/>
      <c r="R78" s="177"/>
      <c r="S78" s="177"/>
      <c r="T78" s="177"/>
      <c r="U78" s="177"/>
      <c r="V78" s="177"/>
      <c r="W78" s="177"/>
      <c r="X78" s="177"/>
      <c r="Y78" s="177"/>
      <c r="Z78" s="177"/>
      <c r="AA78" s="177"/>
      <c r="AB78" s="177"/>
      <c r="AC78" s="177"/>
      <c r="AD78" s="177"/>
      <c r="AE78" s="177"/>
      <c r="AF78" s="177"/>
      <c r="AG78" s="177"/>
      <c r="AH78" s="177"/>
    </row>
    <row r="79" ht="52.5" customHeight="1" spans="1:34">
      <c r="A79" s="240"/>
      <c r="B79" s="291" t="str">
        <f ca="1">OFFSET(L!$C$1,MATCH("Declaration"&amp;ADDRESS(ROW(),COLUMN(),4),L!$A:$A,0)-1,SL,,)&amp;$Q$37</f>
        <v>C. Do you require your direct suppliers to source the 3TG from smelters whose due diligence practices have been validated by an independent third party audit program? (*)</v>
      </c>
      <c r="C79" s="292"/>
      <c r="D79" s="253" t="s">
        <v>130</v>
      </c>
      <c r="E79" s="254"/>
      <c r="F79" s="292"/>
      <c r="G79" s="256"/>
      <c r="H79" s="257"/>
      <c r="I79" s="257"/>
      <c r="J79" s="258"/>
      <c r="K79" s="184"/>
      <c r="L79" s="290" t="s">
        <v>106</v>
      </c>
      <c r="M79" s="12"/>
      <c r="P79" s="177"/>
      <c r="Q79" s="177"/>
      <c r="R79" s="177"/>
      <c r="S79" s="177"/>
      <c r="T79" s="177"/>
      <c r="U79" s="177"/>
      <c r="V79" s="177"/>
      <c r="W79" s="177"/>
      <c r="X79" s="177"/>
      <c r="Y79" s="177"/>
      <c r="Z79" s="177"/>
      <c r="AA79" s="177"/>
      <c r="AB79" s="177"/>
      <c r="AC79" s="177"/>
      <c r="AD79" s="177"/>
      <c r="AE79" s="177"/>
      <c r="AF79" s="177"/>
      <c r="AG79" s="177"/>
      <c r="AH79" s="177"/>
    </row>
    <row r="80" ht="15" spans="1:34">
      <c r="A80" s="240"/>
      <c r="B80" s="293"/>
      <c r="C80" s="255"/>
      <c r="D80" s="294"/>
      <c r="E80" s="294"/>
      <c r="F80" s="255"/>
      <c r="G80" s="298"/>
      <c r="H80" s="298"/>
      <c r="I80" s="298"/>
      <c r="J80" s="298"/>
      <c r="K80" s="184"/>
      <c r="L80" s="290"/>
      <c r="M80" s="12"/>
      <c r="P80" s="177"/>
      <c r="Q80" s="177"/>
      <c r="R80" s="177"/>
      <c r="S80" s="177"/>
      <c r="T80" s="177"/>
      <c r="U80" s="177"/>
      <c r="V80" s="177"/>
      <c r="W80" s="177"/>
      <c r="X80" s="177"/>
      <c r="Y80" s="177"/>
      <c r="Z80" s="177"/>
      <c r="AA80" s="177"/>
      <c r="AB80" s="177"/>
      <c r="AC80" s="177"/>
      <c r="AD80" s="177"/>
      <c r="AE80" s="177"/>
      <c r="AF80" s="177"/>
      <c r="AG80" s="177"/>
      <c r="AH80" s="177"/>
    </row>
    <row r="81" ht="48" customHeight="1" spans="1:34">
      <c r="A81" s="240"/>
      <c r="B81" s="291" t="str">
        <f ca="1">OFFSET(L!$C$1,MATCH("Declaration"&amp;ADDRESS(ROW(),COLUMN(),4),L!$A:$A,0)-1,SL,,)&amp;$Q$37</f>
        <v>D. Have you implemented due diligence measures for responsible sourcing? (*)</v>
      </c>
      <c r="C81" s="292"/>
      <c r="D81" s="253" t="s">
        <v>130</v>
      </c>
      <c r="E81" s="254"/>
      <c r="F81" s="292"/>
      <c r="G81" s="256"/>
      <c r="H81" s="257"/>
      <c r="I81" s="257"/>
      <c r="J81" s="258"/>
      <c r="K81" s="184"/>
      <c r="L81" s="290" t="s">
        <v>109</v>
      </c>
      <c r="M81" s="12"/>
      <c r="P81" s="177"/>
      <c r="Q81" s="177"/>
      <c r="R81" s="177"/>
      <c r="S81" s="177"/>
      <c r="T81" s="177"/>
      <c r="U81" s="177"/>
      <c r="V81" s="177"/>
      <c r="W81" s="177"/>
      <c r="X81" s="177"/>
      <c r="Y81" s="177"/>
      <c r="Z81" s="177"/>
      <c r="AA81" s="177"/>
      <c r="AB81" s="177"/>
      <c r="AC81" s="177"/>
      <c r="AD81" s="177"/>
      <c r="AE81" s="177"/>
      <c r="AF81" s="177"/>
      <c r="AG81" s="177"/>
      <c r="AH81" s="177"/>
    </row>
    <row r="82" ht="15" spans="1:34">
      <c r="A82" s="240"/>
      <c r="B82" s="299"/>
      <c r="C82" s="255"/>
      <c r="D82" s="300"/>
      <c r="E82" s="300"/>
      <c r="F82" s="255"/>
      <c r="G82" s="298"/>
      <c r="H82" s="298"/>
      <c r="I82" s="298"/>
      <c r="J82" s="298"/>
      <c r="K82" s="184"/>
      <c r="L82" s="290"/>
      <c r="M82" s="12"/>
      <c r="P82" s="177"/>
      <c r="Q82" s="177"/>
      <c r="R82" s="177"/>
      <c r="S82" s="177"/>
      <c r="T82" s="177"/>
      <c r="U82" s="177"/>
      <c r="V82" s="177"/>
      <c r="W82" s="177"/>
      <c r="X82" s="177"/>
      <c r="Y82" s="177"/>
      <c r="Z82" s="177"/>
      <c r="AA82" s="177"/>
      <c r="AB82" s="177"/>
      <c r="AC82" s="177"/>
      <c r="AD82" s="177"/>
      <c r="AE82" s="177"/>
      <c r="AF82" s="177"/>
      <c r="AG82" s="177"/>
      <c r="AH82" s="177"/>
    </row>
    <row r="83" ht="35.25" customHeight="1" spans="1:34">
      <c r="A83" s="240"/>
      <c r="B83" s="291" t="str">
        <f ca="1">OFFSET(L!$C$1,MATCH("Declaration"&amp;ADDRESS(ROW(),COLUMN(),4),L!$A:$A,0)-1,SL,,)&amp;$Q$37</f>
        <v>E. Does your company conduct Conflict Minerals survey(s) of your relevant supplier(s)? (*)</v>
      </c>
      <c r="C83" s="292"/>
      <c r="D83" s="253" t="s">
        <v>133</v>
      </c>
      <c r="E83" s="254"/>
      <c r="F83" s="292"/>
      <c r="G83" s="256"/>
      <c r="H83" s="257"/>
      <c r="I83" s="257"/>
      <c r="J83" s="258"/>
      <c r="K83" s="184"/>
      <c r="L83" s="290" t="s">
        <v>106</v>
      </c>
      <c r="M83" s="12"/>
      <c r="P83" s="177"/>
      <c r="Q83" s="177"/>
      <c r="R83" s="177"/>
      <c r="S83" s="177"/>
      <c r="T83" s="177"/>
      <c r="U83" s="177"/>
      <c r="V83" s="177"/>
      <c r="W83" s="177"/>
      <c r="X83" s="177"/>
      <c r="Y83" s="177"/>
      <c r="Z83" s="177"/>
      <c r="AA83" s="177"/>
      <c r="AB83" s="177"/>
      <c r="AC83" s="177"/>
      <c r="AD83" s="177"/>
      <c r="AE83" s="177"/>
      <c r="AF83" s="177"/>
      <c r="AG83" s="177"/>
      <c r="AH83" s="177"/>
    </row>
    <row r="84" ht="15" spans="1:34">
      <c r="A84" s="240"/>
      <c r="K84" s="184"/>
      <c r="L84" s="290"/>
      <c r="M84" s="12"/>
      <c r="P84" s="177"/>
      <c r="Q84" s="177"/>
      <c r="R84" s="177"/>
      <c r="S84" s="177"/>
      <c r="T84" s="177"/>
      <c r="U84" s="177"/>
      <c r="V84" s="177"/>
      <c r="W84" s="177"/>
      <c r="X84" s="177"/>
      <c r="Y84" s="177"/>
      <c r="Z84" s="177"/>
      <c r="AA84" s="177"/>
      <c r="AB84" s="177"/>
      <c r="AC84" s="177"/>
      <c r="AD84" s="177"/>
      <c r="AE84" s="177"/>
      <c r="AF84" s="177"/>
      <c r="AG84" s="177"/>
      <c r="AH84" s="177"/>
    </row>
    <row r="85" ht="49.5" customHeight="1" spans="1:34">
      <c r="A85" s="240"/>
      <c r="B85" s="291" t="str">
        <f ca="1">OFFSET(L!$C$1,MATCH("Declaration"&amp;ADDRESS(ROW(),COLUMN(),4),L!$A:$A,0)-1,SL,,)&amp;$Q$37</f>
        <v>F. Do you review due diligence information received from your suppliers against your company’s expectations? (*)</v>
      </c>
      <c r="C85" s="292"/>
      <c r="D85" s="301" t="s">
        <v>130</v>
      </c>
      <c r="E85" s="302"/>
      <c r="F85" s="292"/>
      <c r="G85" s="256"/>
      <c r="H85" s="257"/>
      <c r="I85" s="257"/>
      <c r="J85" s="258"/>
      <c r="K85" s="184"/>
      <c r="L85" s="290" t="s">
        <v>106</v>
      </c>
      <c r="M85" s="12"/>
      <c r="P85" s="177"/>
      <c r="Q85" s="177"/>
      <c r="R85" s="177"/>
      <c r="S85" s="177"/>
      <c r="T85" s="177"/>
      <c r="U85" s="177"/>
      <c r="V85" s="177"/>
      <c r="W85" s="177"/>
      <c r="X85" s="177"/>
      <c r="Y85" s="177"/>
      <c r="Z85" s="177"/>
      <c r="AA85" s="177"/>
      <c r="AB85" s="177"/>
      <c r="AC85" s="177"/>
      <c r="AD85" s="177"/>
      <c r="AE85" s="177"/>
      <c r="AF85" s="177"/>
      <c r="AG85" s="177"/>
      <c r="AH85" s="177"/>
    </row>
    <row r="86" ht="15" spans="1:34">
      <c r="A86" s="240"/>
      <c r="B86" s="303"/>
      <c r="C86" s="255"/>
      <c r="D86" s="294"/>
      <c r="E86" s="294"/>
      <c r="F86" s="304"/>
      <c r="G86" s="294"/>
      <c r="H86" s="294"/>
      <c r="I86" s="294"/>
      <c r="J86" s="294"/>
      <c r="K86" s="184"/>
      <c r="L86" s="290"/>
      <c r="M86" s="12"/>
      <c r="P86" s="177"/>
      <c r="Q86" s="177"/>
      <c r="R86" s="177"/>
      <c r="S86" s="177"/>
      <c r="T86" s="177"/>
      <c r="U86" s="177"/>
      <c r="V86" s="177"/>
      <c r="W86" s="177"/>
      <c r="X86" s="177"/>
      <c r="Y86" s="177"/>
      <c r="Z86" s="177"/>
      <c r="AA86" s="177"/>
      <c r="AB86" s="177"/>
      <c r="AC86" s="177"/>
      <c r="AD86" s="177"/>
      <c r="AE86" s="177"/>
      <c r="AF86" s="177"/>
      <c r="AG86" s="177"/>
      <c r="AH86" s="177"/>
    </row>
    <row r="87" ht="37.4" customHeight="1" spans="1:34">
      <c r="A87" s="240"/>
      <c r="B87" s="291" t="str">
        <f ca="1">OFFSET(L!$C$1,MATCH("Declaration"&amp;ADDRESS(ROW(),COLUMN(),4),L!$A:$A,0)-1,SL,,)&amp;$Q$37</f>
        <v>G. Does your review process include corrective action management? (*)</v>
      </c>
      <c r="C87" s="292"/>
      <c r="D87" s="253" t="s">
        <v>130</v>
      </c>
      <c r="E87" s="254"/>
      <c r="F87" s="292"/>
      <c r="G87" s="256"/>
      <c r="H87" s="257"/>
      <c r="I87" s="257"/>
      <c r="J87" s="258"/>
      <c r="K87" s="184"/>
      <c r="L87" s="290" t="s">
        <v>109</v>
      </c>
      <c r="M87" s="12"/>
      <c r="P87" s="177"/>
      <c r="Q87" s="177"/>
      <c r="R87" s="177"/>
      <c r="S87" s="177"/>
      <c r="T87" s="177"/>
      <c r="U87" s="177"/>
      <c r="V87" s="177"/>
      <c r="W87" s="177"/>
      <c r="X87" s="177"/>
      <c r="Y87" s="177"/>
      <c r="Z87" s="177"/>
      <c r="AA87" s="177"/>
      <c r="AB87" s="177"/>
      <c r="AC87" s="177"/>
      <c r="AD87" s="177"/>
      <c r="AE87" s="177"/>
      <c r="AF87" s="177"/>
      <c r="AG87" s="177"/>
      <c r="AH87" s="177"/>
    </row>
    <row r="88" ht="15" spans="1:34">
      <c r="A88" s="240"/>
      <c r="B88" s="293"/>
      <c r="C88" s="255"/>
      <c r="D88" s="294"/>
      <c r="E88" s="294"/>
      <c r="F88" s="304"/>
      <c r="G88" s="305"/>
      <c r="H88" s="305"/>
      <c r="I88" s="305"/>
      <c r="J88" s="305"/>
      <c r="K88" s="184"/>
      <c r="L88" s="290"/>
      <c r="M88" s="12"/>
      <c r="P88" s="177"/>
      <c r="Q88" s="177"/>
      <c r="R88" s="177"/>
      <c r="S88" s="177"/>
      <c r="T88" s="177"/>
      <c r="U88" s="177"/>
      <c r="V88" s="177"/>
      <c r="W88" s="177"/>
      <c r="X88" s="177"/>
      <c r="Y88" s="177"/>
      <c r="Z88" s="177"/>
      <c r="AA88" s="177"/>
      <c r="AB88" s="177"/>
      <c r="AC88" s="177"/>
      <c r="AD88" s="177"/>
      <c r="AE88" s="177"/>
      <c r="AF88" s="177"/>
      <c r="AG88" s="177"/>
      <c r="AH88" s="177"/>
    </row>
    <row r="89" ht="30" spans="1:34">
      <c r="A89" s="240"/>
      <c r="B89" s="291" t="str">
        <f ca="1">OFFSET(L!$C$1,MATCH("Declaration"&amp;ADDRESS(ROW(),COLUMN(),4),L!$A:$A,0)-1,SL,,)&amp;$Q$37</f>
        <v>H. Is your company required to file an annual conflict minerals disclosure? (*)</v>
      </c>
      <c r="C89" s="292"/>
      <c r="D89" s="253" t="s">
        <v>129</v>
      </c>
      <c r="E89" s="254"/>
      <c r="F89" s="292"/>
      <c r="G89" s="256"/>
      <c r="H89" s="257"/>
      <c r="I89" s="257"/>
      <c r="J89" s="258"/>
      <c r="K89" s="184"/>
      <c r="L89" s="290" t="s">
        <v>106</v>
      </c>
      <c r="M89" s="12"/>
      <c r="P89" s="177"/>
      <c r="Q89" s="177"/>
      <c r="R89" s="177"/>
      <c r="S89" s="177"/>
      <c r="T89" s="177"/>
      <c r="U89" s="177"/>
      <c r="V89" s="177"/>
      <c r="W89" s="177"/>
      <c r="X89" s="177"/>
      <c r="Y89" s="177"/>
      <c r="Z89" s="177"/>
      <c r="AA89" s="177"/>
      <c r="AB89" s="177"/>
      <c r="AC89" s="177"/>
      <c r="AD89" s="177"/>
      <c r="AE89" s="177"/>
      <c r="AF89" s="177"/>
      <c r="AG89" s="177"/>
      <c r="AH89" s="177"/>
    </row>
    <row r="90" ht="15" spans="1:34">
      <c r="A90" s="240"/>
      <c r="B90" s="306" t="str">
        <f>IF(OR($D$8="",$I$3=""),"","Click here to check required fields completion")</f>
        <v/>
      </c>
      <c r="C90" s="306"/>
      <c r="D90" s="306"/>
      <c r="E90" s="306"/>
      <c r="F90" s="306"/>
      <c r="G90" s="306"/>
      <c r="H90" s="306"/>
      <c r="I90" s="306"/>
      <c r="J90" s="306"/>
      <c r="K90" s="184"/>
      <c r="L90" s="176"/>
      <c r="P90" s="177"/>
      <c r="Q90" s="177"/>
      <c r="R90" s="177"/>
      <c r="S90" s="177"/>
      <c r="T90" s="177"/>
      <c r="U90" s="177"/>
      <c r="V90" s="177"/>
      <c r="W90" s="177"/>
      <c r="X90" s="177"/>
      <c r="Y90" s="177"/>
      <c r="Z90" s="177"/>
      <c r="AA90" s="177"/>
      <c r="AB90" s="177"/>
      <c r="AC90" s="177"/>
      <c r="AD90" s="177"/>
      <c r="AE90" s="177"/>
      <c r="AF90" s="177"/>
      <c r="AG90" s="177"/>
      <c r="AH90" s="177"/>
    </row>
    <row r="91" ht="15.75" spans="1:34">
      <c r="A91" s="307" t="str">
        <f ca="1">OFFSET(L!$C$1,MATCH("General"&amp;"Cpy",L!$A:$A,0)-1,SL,,)</f>
        <v>© 2026 Responsible Minerals Initiative. All rights reserved.</v>
      </c>
      <c r="B91" s="308"/>
      <c r="C91" s="308"/>
      <c r="D91" s="308"/>
      <c r="E91" s="308"/>
      <c r="F91" s="308"/>
      <c r="G91" s="308"/>
      <c r="H91" s="308"/>
      <c r="I91" s="308"/>
      <c r="J91" s="308"/>
      <c r="K91" s="309"/>
      <c r="L91" s="176"/>
      <c r="P91" s="177"/>
      <c r="Q91" s="177"/>
      <c r="R91" s="177"/>
      <c r="S91" s="177"/>
      <c r="T91" s="177"/>
      <c r="U91" s="177"/>
      <c r="V91" s="177"/>
      <c r="W91" s="177"/>
      <c r="X91" s="177"/>
      <c r="Y91" s="177"/>
      <c r="Z91" s="177"/>
      <c r="AA91" s="177"/>
      <c r="AB91" s="177"/>
      <c r="AC91" s="177"/>
      <c r="AD91" s="177"/>
      <c r="AE91" s="177"/>
      <c r="AF91" s="177"/>
      <c r="AG91" s="177"/>
      <c r="AH91" s="177"/>
    </row>
    <row r="92" ht="15.75" spans="1:34">
      <c r="L92" s="310"/>
      <c r="P92" s="177"/>
      <c r="Q92" s="177"/>
      <c r="R92" s="177"/>
      <c r="S92" s="177"/>
      <c r="T92" s="177"/>
      <c r="U92" s="177"/>
      <c r="V92" s="177"/>
      <c r="W92" s="177"/>
      <c r="X92" s="177"/>
      <c r="Y92" s="177"/>
      <c r="Z92" s="177"/>
      <c r="AA92" s="177"/>
      <c r="AB92" s="177"/>
      <c r="AC92" s="177"/>
      <c r="AD92" s="177"/>
      <c r="AE92" s="177"/>
      <c r="AF92" s="177"/>
      <c r="AG92" s="177"/>
      <c r="AH92" s="177"/>
    </row>
    <row r="96" hidden="1" customHeight="1" spans="1:34">
      <c r="B96" s="291" t="s">
        <v>130</v>
      </c>
      <c r="D96" s="311" t="str">
        <f>IF(AND(OR($D$26="Yes",$D$26=""),OR($D$32="Yes",$D$32="")),"Yes","")</f>
        <v/>
      </c>
      <c r="E96" s="311" t="str">
        <f>IF(AND(OR($D$26="Yes",$D$26=""),OR($D$32="Yes",$D$32="")),"100%","")</f>
        <v/>
      </c>
      <c r="G96" s="311" t="str">
        <f>IF(OR($D$26="Yes",$D$26=""),"Yes","")</f>
        <v/>
      </c>
    </row>
    <row r="97" hidden="1" customHeight="1" spans="2:7">
      <c r="B97" s="291" t="s">
        <v>129</v>
      </c>
      <c r="D97" s="311" t="str">
        <f>IF(AND(OR($D$26="Yes",$D$26=""),OR($D$32="Yes",$D$32="")),"No","")</f>
        <v/>
      </c>
      <c r="E97" s="311" t="str">
        <f>IF(AND(OR($D$26="Yes",$D$26=""),OR($D$32="Yes",$D$32="")),"Greater than 90%","")</f>
        <v/>
      </c>
      <c r="G97" s="311" t="str">
        <f>IF(OR($D$26="Yes",$D$26=""),"No","")</f>
        <v/>
      </c>
    </row>
    <row r="98" ht="15" hidden="1" spans="2:7">
      <c r="B98" s="291" t="s">
        <v>134</v>
      </c>
      <c r="D98" s="311" t="str">
        <f>IF(AND(OR($D$26="Yes",$D$26=""),OR($D$32="Yes",$D$32="")),"Unknown","")</f>
        <v/>
      </c>
      <c r="E98" s="311" t="str">
        <f>IF(AND(OR($D$26="Yes",$D$26=""),OR($D$32="Yes",$D$32="")),"Greater than 75%","")</f>
        <v/>
      </c>
      <c r="G98" s="311" t="str">
        <f>IF(OR($D$27="Yes",$D$27=""),"Yes","")</f>
        <v>Yes</v>
      </c>
    </row>
    <row r="99" ht="15" hidden="1" spans="2:7">
      <c r="B99" s="312">
        <v>1</v>
      </c>
      <c r="D99" s="311" t="str">
        <f>IF(AND(OR($D$27="Yes",$D$27=""),OR($D$33="Yes",$D$33="")),"Yes","")</f>
        <v>Yes</v>
      </c>
      <c r="E99" s="311" t="str">
        <f>IF(AND(OR($D$26="Yes",$D$26=""),OR($D$32="Yes",$D$32="")),"Greater than 50%","")</f>
        <v/>
      </c>
      <c r="G99" s="311" t="str">
        <f>IF(OR($D$27="Yes",$D$27=""),"No","")</f>
        <v>No</v>
      </c>
    </row>
    <row r="100" ht="15" hidden="1" spans="2:7">
      <c r="B100" s="313" t="s">
        <v>135</v>
      </c>
      <c r="D100" s="311" t="str">
        <f>IF(AND(OR($D$27="Yes",$D$27=""),OR($D$33="Yes",$D$33="")),"No","")</f>
        <v>No</v>
      </c>
      <c r="E100" s="311" t="str">
        <f>IF(AND(OR($D$26="Yes",$D$26=""),OR($D$32="Yes",$D$32="")),"50% or less","")</f>
        <v/>
      </c>
      <c r="G100" s="311" t="str">
        <f>IF(OR($D$28="Yes",$D$28=""),"Yes","")</f>
        <v/>
      </c>
    </row>
    <row r="101" ht="15" hidden="1" spans="2:7">
      <c r="B101" s="313" t="s">
        <v>136</v>
      </c>
      <c r="D101" s="311" t="str">
        <f>IF(AND(OR($D$27="Yes",$D$27=""),OR($D$33="Yes",$D$33="")),"Unknown","")</f>
        <v>Unknown</v>
      </c>
      <c r="E101" s="311" t="str">
        <f>IF(AND(OR($D$26="Yes",$D$26=""),OR($D$32="Yes",$D$32="")),"None","")</f>
        <v/>
      </c>
      <c r="G101" s="311" t="str">
        <f>IF(OR($D$28="Yes",$D$28=""),"No","")</f>
        <v/>
      </c>
    </row>
    <row r="102" ht="15" hidden="1" spans="2:7">
      <c r="B102" s="313" t="s">
        <v>137</v>
      </c>
      <c r="D102" s="311" t="str">
        <f>IF(AND(OR($D$28="Yes",$D$28=""),OR($D$34="Yes",$D$34="")),"Yes","")</f>
        <v/>
      </c>
      <c r="E102" s="311" t="str">
        <f>IF(AND(OR($D$27="Yes",$D$27=""),OR($D$33="Yes",$D$33="")),"100%","")</f>
        <v>100%</v>
      </c>
      <c r="G102" s="311" t="str">
        <f>IF(OR($D$29="Yes",$D$29=""),"Yes","")</f>
        <v/>
      </c>
    </row>
    <row r="103" ht="15" hidden="1" spans="2:7">
      <c r="B103" s="313" t="s">
        <v>138</v>
      </c>
      <c r="D103" s="311" t="str">
        <f>IF(AND(OR($D$28="Yes",$D$28=""),OR($D$34="Yes",$D$34="")),"No","")</f>
        <v/>
      </c>
      <c r="E103" s="311" t="str">
        <f>IF(AND(OR($D$27="Yes",$D$27=""),OR($D$33="Yes",$D$33="")),"Greater than 90%","")</f>
        <v>Greater than 90%</v>
      </c>
      <c r="G103" s="311" t="str">
        <f>IF(OR($D$29="Yes",$D$29=""),"No","")</f>
        <v/>
      </c>
    </row>
    <row r="104" ht="15" hidden="1" spans="2:7">
      <c r="B104" s="313" t="s">
        <v>139</v>
      </c>
      <c r="D104" s="311" t="str">
        <f>IF(AND(OR($D$28="Yes",$D$28=""),OR($D$34="Yes",$D$34="")),"Unknown","")</f>
        <v/>
      </c>
      <c r="E104" s="311" t="str">
        <f>IF(AND(OR($D$27="Yes",$D$27=""),OR($D$33="Yes",$D$33="")),"Greater than 75%","")</f>
        <v>Greater than 75%</v>
      </c>
    </row>
    <row r="105" ht="15" hidden="1" spans="2:7">
      <c r="B105" s="313" t="s">
        <v>133</v>
      </c>
      <c r="D105" s="311" t="str">
        <f>IF(AND(OR($D$29="Yes",$D$29=""),OR($D$35="Yes",$D$35="")),"Yes","")</f>
        <v/>
      </c>
      <c r="E105" s="311" t="str">
        <f>IF(AND(OR($D$27="Yes",$D$27=""),OR($D$33="Yes",$D$33="")),"Greater than 50%","")</f>
        <v>Greater than 50%</v>
      </c>
    </row>
    <row r="106" ht="15" hidden="1" spans="2:7">
      <c r="B106" s="313" t="s">
        <v>140</v>
      </c>
      <c r="D106" s="311" t="str">
        <f>IF(AND(OR($D$29="Yes",$D$29=""),OR($D$35="Yes",$D$35="")),"No","")</f>
        <v/>
      </c>
      <c r="E106" s="311" t="str">
        <f>IF(AND(OR($D$27="Yes",$D$27=""),OR($D$33="Yes",$D$33="")),"50% or less","")</f>
        <v>50% or less</v>
      </c>
    </row>
    <row r="107" ht="15" hidden="1" spans="2:7">
      <c r="B107" s="313" t="s">
        <v>129</v>
      </c>
      <c r="D107" s="311" t="str">
        <f>IF(AND(OR($D$29="Yes",$D$29=""),OR($D$35="Yes",$D$35="")),"Unknown","")</f>
        <v/>
      </c>
      <c r="E107" s="311" t="str">
        <f>IF(AND(OR($D$27="Yes",$D$27=""),OR($D$33="Yes",$D$33="")),"None","")</f>
        <v>None</v>
      </c>
    </row>
    <row r="108" ht="15" hidden="1" spans="2:7">
      <c r="B108" s="313" t="s">
        <v>141</v>
      </c>
      <c r="E108" s="311" t="str">
        <f>IF(AND(OR($D$28="Yes",$D$28=""),OR($D$34="Yes",$D$34="")),"100%","")</f>
        <v/>
      </c>
    </row>
    <row r="109" ht="15" hidden="1" spans="2:7">
      <c r="B109" s="313" t="s">
        <v>142</v>
      </c>
      <c r="E109" s="311" t="str">
        <f>IF(AND(OR($D$28="Yes",$D$28=""),OR($D$34="Yes",$D$34="")),"Greater than 90%","")</f>
        <v/>
      </c>
    </row>
    <row r="110" ht="15" hidden="1" spans="2:7">
      <c r="B110" s="313" t="s">
        <v>143</v>
      </c>
      <c r="E110" s="311" t="str">
        <f>IF(AND(OR($D$28="Yes",$D$28=""),OR($D$34="Yes",$D$34="")),"Greater than 75%","")</f>
        <v/>
      </c>
    </row>
    <row r="111" ht="15" hidden="1" spans="2:7">
      <c r="B111" s="313" t="s">
        <v>129</v>
      </c>
      <c r="E111" s="311" t="str">
        <f>IF(AND(OR($D$28="Yes",$D$28=""),OR($D$34="Yes",$D$34="")),"Greater than 50%","")</f>
        <v/>
      </c>
    </row>
    <row r="112" ht="15" hidden="1" customHeight="1" spans="2:7">
      <c r="E112" s="311" t="str">
        <f>IF(AND(OR($D$28="Yes",$D$28=""),OR($D$34="Yes",$D$34="")),"50% or less","")</f>
        <v/>
      </c>
    </row>
    <row r="113" ht="15" hidden="1" customHeight="1" spans="5:5">
      <c r="E113" s="311" t="str">
        <f>IF(AND(OR($D$28="Yes",$D$28=""),OR($D$34="Yes",$D$34="")),"None","")</f>
        <v/>
      </c>
    </row>
    <row r="114" ht="15" hidden="1" customHeight="1" spans="5:5">
      <c r="E114" s="311" t="str">
        <f>IF(AND(OR($D$29="Yes",$D$29=""),OR($D$35="Yes",$D$35="")),"100%","")</f>
        <v/>
      </c>
    </row>
    <row r="115" ht="15" hidden="1" customHeight="1" spans="5:5">
      <c r="E115" s="311" t="str">
        <f>IF(AND(OR($D$29="Yes",$D$29=""),OR($D$35="Yes",$D$35="")),"Greater than 90%","")</f>
        <v/>
      </c>
    </row>
    <row r="116" ht="15" hidden="1" customHeight="1" spans="5:5">
      <c r="E116" s="311" t="str">
        <f>IF(AND(OR($D$29="Yes",$D$29=""),OR($D$35="Yes",$D$35="")),"Greater than 75%","")</f>
        <v/>
      </c>
    </row>
    <row r="117" ht="15" hidden="1" customHeight="1" spans="5:5">
      <c r="E117" s="311" t="str">
        <f>IF(AND(OR($D$29="Yes",$D$29=""),OR($D$35="Yes",$D$35="")),"Greater than 50%","")</f>
        <v/>
      </c>
    </row>
    <row r="118" ht="15" hidden="1" customHeight="1" spans="5:5">
      <c r="E118" s="311" t="str">
        <f>IF(AND(OR($D$29="Yes",$D$29=""),OR($D$35="Yes",$D$35="")),"50% or less","")</f>
        <v/>
      </c>
    </row>
    <row r="119" ht="15" hidden="1" customHeight="1" spans="5:5">
      <c r="E119" s="311"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1"/>
  <sheetViews>
    <sheetView showGridLines="0" showZeros="0" zoomScalePageLayoutView="55" topLeftCell="A3" workbookViewId="0">
      <selection activeCell="A5" sqref="A5:A7"/>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IF(AND(C5="Smelter not listed",OR(LEN(D5)=0,LEN(E5)=0)),1,0)</f>
        <v>0</v>
      </c>
      <c r="AB5" s="162" t="str">
        <f ca="1">B5&amp;C5</f>
        <v>TinChina Tin Group Co., Ltd.</v>
      </c>
    </row>
    <row r="6" s="120" customFormat="1" ht="20.15" customHeight="1" spans="1:34">
      <c r="A6" s="163" t="s">
        <v>155</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IF(AND(C6="Smelter not listed",OR(LEN(D6)=0,LEN(E6)=0)),1,0)</f>
        <v>0</v>
      </c>
      <c r="AB6" s="162" t="str">
        <f ca="1">B6&amp;C6</f>
        <v>TinTin Smelting Branch of Yunnan Tin Co., Ltd.</v>
      </c>
    </row>
    <row r="7" s="120" customFormat="1" ht="23" customHeight="1" spans="1:34">
      <c r="A7" s="151" t="s">
        <v>156</v>
      </c>
      <c r="B7" s="151" t="s">
        <v>146</v>
      </c>
      <c r="C7" s="152" t="s">
        <v>157</v>
      </c>
      <c r="D7" s="153"/>
      <c r="E7" s="151" t="str">
        <f ca="1">IF(ISERROR($V7),"",OFFSET('Smelter Look-up'!$D$4,$V7-4,0)&amp;"")</f>
        <v>CHINA</v>
      </c>
      <c r="F7" s="151" t="str">
        <f ca="1">IF(ISERROR($V7),"",OFFSET('Smelter Look-up'!$E$4,$V7-4,0))</f>
        <v>CID000538</v>
      </c>
      <c r="G7" s="151" t="str">
        <f ca="1">IF(C7=$X$4,IF(ISERROR($V7),"Enter smelter details","RMI"),IF(ISERROR($V7),"",OFFSET('Smelter Look-up'!$F$4,$V7-4,0)))</f>
        <v>RMI</v>
      </c>
      <c r="H7" s="154">
        <f ca="1">IF(ISERROR($V7),"",OFFSET('Smelter Look-up'!$G$4,$V7-4,0))</f>
        <v>0</v>
      </c>
      <c r="I7" s="155" t="str">
        <f ca="1">IF(ISERROR($V7),"",OFFSET('Smelter Look-up'!$H$4,$V7-4,0))</f>
        <v>Gejiu</v>
      </c>
      <c r="J7" s="155" t="str">
        <f ca="1">IF(ISERROR($V7),"",OFFSET('Smelter Look-up'!$I$4,$V7-4,0))</f>
        <v>Yunnan Sheng</v>
      </c>
      <c r="K7" s="156"/>
      <c r="L7" s="156"/>
      <c r="M7" s="156"/>
      <c r="N7" s="156"/>
      <c r="O7" s="156"/>
      <c r="P7" s="157"/>
      <c r="Q7" s="158"/>
      <c r="R7" s="151" t="str">
        <f ca="1">IF(ISERROR($V7),"",OFFSET('Smelter Look-up'!$C$4,$V7-4,0)&amp;"")</f>
        <v>Gejiu Non-Ferrous Metal Processing Co., Ltd.</v>
      </c>
      <c r="S7" s="159" t="str">
        <f ca="1" t="shared" ref="S7:S25" si="0">IF(B7="","",IF(ISERROR(MATCH($E7,CL,0)),"Unknown",INDIRECT("'C'!$A$"&amp;MATCH($E7,CL,0)+1)))</f>
        <v>CN</v>
      </c>
      <c r="T7" s="159" t="str">
        <f ca="1">IF(B7="","",IF(ISERROR(MATCH($J7,SorP!$B$1:$B$6261,0)),"",INDIRECT("'SorP'!$A$"&amp;MATCH($S7&amp;$J7,SorP!C:C,0))))</f>
        <v>CN-YN</v>
      </c>
      <c r="U7" s="160"/>
      <c r="V7" s="161">
        <f>IF(C7="",NA(),IF(OR(C7="Smelter not listed",C7="Smelter not yet identified"),MATCH($B7&amp;$D7,'Smelter Look-up'!$J:$J,0),MATCH($B7&amp;$C7,'Smelter Look-up'!$J:$J,0)))</f>
        <v>468</v>
      </c>
      <c r="X7" s="120">
        <f ca="1" t="shared" ref="X7:X25" si="1">IF(AND(C7="Smelter not listed",OR(LEN(D7)=0,LEN(E7)=0)),1,0)</f>
        <v>0</v>
      </c>
      <c r="AB7" s="162" t="str">
        <f t="shared" ref="AB7:AB25" si="2">B7&amp;C7</f>
        <v>TinGejiu Non-Ferrous Metal Processing Co., Ltd.</v>
      </c>
    </row>
    <row r="8" s="120" customFormat="1" ht="20" spans="1:34">
      <c r="A8" s="159"/>
      <c r="B8" s="151" t="str">
        <f ca="1">IF(LEN(A8)=0,"",INDEX('Smelter Look-up'!$A:$A,MATCH($A8,'Smelter Look-up'!$E:$E,0)))</f>
        <v/>
      </c>
      <c r="C8" s="152" t="str">
        <f ca="1">IF(LEN(A8)=0,"",INDEX('Smelter Look-up'!$C:$C,MATCH($A8,'Smelter Look-up'!$E:$E,0)))</f>
        <v/>
      </c>
      <c r="D8" s="153"/>
      <c r="E8" s="151" t="str">
        <f ca="1">IF(ISERROR($V8),"",OFFSET('Smelter Look-up'!$D$4,$V8-4,0)&amp;"")</f>
        <v/>
      </c>
      <c r="F8" s="151" t="str">
        <f ca="1">IF(ISERROR($V8),"",OFFSET('Smelter Look-up'!$E$4,$V8-4,0))</f>
        <v/>
      </c>
      <c r="G8" s="151" t="str">
        <f ca="1">IF(C8=$X$4,IF(ISERROR($V8),"Enter smelter details","RMI"),IF(ISERROR($V8),"",OFFSET('Smelter Look-up'!$F$4,$V8-4,0)))</f>
        <v/>
      </c>
      <c r="H8" s="154" t="str">
        <f ca="1">IF(ISERROR($V8),"",OFFSET('Smelter Look-up'!$G$4,$V8-4,0))</f>
        <v/>
      </c>
      <c r="I8" s="155" t="str">
        <f ca="1">IF(ISERROR($V8),"",OFFSET('Smelter Look-up'!$H$4,$V8-4,0))</f>
        <v/>
      </c>
      <c r="J8" s="155" t="str">
        <f ca="1">IF(ISERROR($V8),"",OFFSET('Smelter Look-up'!$I$4,$V8-4,0))</f>
        <v/>
      </c>
      <c r="K8" s="156"/>
      <c r="L8" s="156"/>
      <c r="M8" s="156"/>
      <c r="N8" s="156"/>
      <c r="O8" s="156"/>
      <c r="P8" s="157"/>
      <c r="Q8" s="158"/>
      <c r="R8" s="151" t="str">
        <f ca="1">IF(ISERROR($V8),"",OFFSET('Smelter Look-up'!$C$4,$V8-4,0)&amp;"")</f>
        <v/>
      </c>
      <c r="S8" s="159" t="str">
        <f ca="1" t="shared" si="0"/>
        <v/>
      </c>
      <c r="T8" s="159" t="str">
        <f ca="1">IF(B8="","",IF(ISERROR(MATCH($J8,SorP!$B$1:$B$6261,0)),"",INDIRECT("'SorP'!$A$"&amp;MATCH($S8&amp;$J8,SorP!C:C,0))))</f>
        <v/>
      </c>
      <c r="U8" s="160"/>
      <c r="V8" s="161" t="e">
        <f ca="1">IF(C8="",NA(),IF(OR(C8="Smelter not listed",C8="Smelter not yet identified"),MATCH($B8&amp;$D8,'Smelter Look-up'!$J:$J,0),MATCH($B8&amp;$C8,'Smelter Look-up'!$J:$J,0)))</f>
        <v>#N/A</v>
      </c>
      <c r="X8" s="120">
        <f ca="1" t="shared" si="1"/>
        <v>0</v>
      </c>
      <c r="AB8" s="162" t="str">
        <f ca="1" t="shared" si="2"/>
        <v/>
      </c>
    </row>
    <row r="9" s="120" customFormat="1" ht="20" spans="1:34">
      <c r="A9" s="159"/>
      <c r="B9" s="151" t="str">
        <f ca="1">IF(LEN(A9)=0,"",INDEX('Smelter Look-up'!$A:$A,MATCH($A9,'Smelter Look-up'!$E:$E,0)))</f>
        <v/>
      </c>
      <c r="C9" s="152" t="str">
        <f ca="1">IF(LEN(A9)=0,"",INDEX('Smelter Look-up'!$C:$C,MATCH($A9,'Smelter Look-up'!$E:$E,0)))</f>
        <v/>
      </c>
      <c r="D9" s="153"/>
      <c r="E9" s="151" t="str">
        <f ca="1">IF(ISERROR($V9),"",OFFSET('Smelter Look-up'!$D$4,$V9-4,0)&amp;"")</f>
        <v/>
      </c>
      <c r="F9" s="151" t="str">
        <f ca="1">IF(ISERROR($V9),"",OFFSET('Smelter Look-up'!$E$4,$V9-4,0))</f>
        <v/>
      </c>
      <c r="G9" s="151" t="str">
        <f ca="1">IF(C9=$X$4,IF(ISERROR($V9),"Enter smelter details","RMI"),IF(ISERROR($V9),"",OFFSET('Smelter Look-up'!$F$4,$V9-4,0)))</f>
        <v/>
      </c>
      <c r="H9" s="154" t="str">
        <f ca="1">IF(ISERROR($V9),"",OFFSET('Smelter Look-up'!$G$4,$V9-4,0))</f>
        <v/>
      </c>
      <c r="I9" s="155" t="str">
        <f ca="1">IF(ISERROR($V9),"",OFFSET('Smelter Look-up'!$H$4,$V9-4,0))</f>
        <v/>
      </c>
      <c r="J9" s="155" t="str">
        <f ca="1">IF(ISERROR($V9),"",OFFSET('Smelter Look-up'!$I$4,$V9-4,0))</f>
        <v/>
      </c>
      <c r="K9" s="156"/>
      <c r="L9" s="156"/>
      <c r="M9" s="156"/>
      <c r="N9" s="156"/>
      <c r="O9" s="156"/>
      <c r="P9" s="157"/>
      <c r="Q9" s="158"/>
      <c r="R9" s="151" t="str">
        <f ca="1">IF(ISERROR($V9),"",OFFSET('Smelter Look-up'!$C$4,$V9-4,0)&amp;"")</f>
        <v/>
      </c>
      <c r="S9" s="159" t="str">
        <f ca="1" t="shared" si="0"/>
        <v/>
      </c>
      <c r="T9" s="159" t="str">
        <f ca="1">IF(B9="","",IF(ISERROR(MATCH($J9,SorP!$B$1:$B$6261,0)),"",INDIRECT("'SorP'!$A$"&amp;MATCH($S9&amp;$J9,SorP!C:C,0))))</f>
        <v/>
      </c>
      <c r="U9" s="160"/>
      <c r="V9" s="161" t="e">
        <f ca="1">IF(C9="",NA(),IF(OR(C9="Smelter not listed",C9="Smelter not yet identified"),MATCH($B9&amp;$D9,'Smelter Look-up'!$J:$J,0),MATCH($B9&amp;$C9,'Smelter Look-up'!$J:$J,0)))</f>
        <v>#N/A</v>
      </c>
      <c r="X9" s="120">
        <f ca="1" t="shared" si="1"/>
        <v>0</v>
      </c>
      <c r="AB9" s="162" t="str">
        <f ca="1" t="shared" si="2"/>
        <v/>
      </c>
    </row>
    <row r="10" s="120" customFormat="1" ht="20" spans="1:34">
      <c r="A10" s="159"/>
      <c r="B10" s="151" t="str">
        <f ca="1">IF(LEN(A10)=0,"",INDEX('Smelter Look-up'!$A:$A,MATCH($A10,'Smelter Look-up'!$E:$E,0)))</f>
        <v/>
      </c>
      <c r="C10" s="152" t="str">
        <f ca="1">IF(LEN(A10)=0,"",INDEX('Smelter Look-up'!$C:$C,MATCH($A10,'Smelter Look-up'!$E:$E,0)))</f>
        <v/>
      </c>
      <c r="D10" s="153"/>
      <c r="E10" s="151" t="str">
        <f ca="1">IF(ISERROR($V10),"",OFFSET('Smelter Look-up'!$D$4,$V10-4,0)&amp;"")</f>
        <v/>
      </c>
      <c r="F10" s="151" t="str">
        <f ca="1">IF(ISERROR($V10),"",OFFSET('Smelter Look-up'!$E$4,$V10-4,0))</f>
        <v/>
      </c>
      <c r="G10" s="151" t="str">
        <f ca="1">IF(C10=$X$4,IF(ISERROR($V10),"Enter smelter details","RMI"),IF(ISERROR($V10),"",OFFSET('Smelter Look-up'!$F$4,$V10-4,0)))</f>
        <v/>
      </c>
      <c r="H10" s="154" t="str">
        <f ca="1">IF(ISERROR($V10),"",OFFSET('Smelter Look-up'!$G$4,$V10-4,0))</f>
        <v/>
      </c>
      <c r="I10" s="155" t="str">
        <f ca="1">IF(ISERROR($V10),"",OFFSET('Smelter Look-up'!$H$4,$V10-4,0))</f>
        <v/>
      </c>
      <c r="J10" s="155" t="str">
        <f ca="1">IF(ISERROR($V10),"",OFFSET('Smelter Look-up'!$I$4,$V10-4,0))</f>
        <v/>
      </c>
      <c r="K10" s="156"/>
      <c r="L10" s="156"/>
      <c r="M10" s="156"/>
      <c r="N10" s="156"/>
      <c r="O10" s="156"/>
      <c r="P10" s="157"/>
      <c r="Q10" s="158"/>
      <c r="R10" s="151" t="str">
        <f ca="1">IF(ISERROR($V10),"",OFFSET('Smelter Look-up'!$C$4,$V10-4,0)&amp;"")</f>
        <v/>
      </c>
      <c r="S10" s="159" t="str">
        <f ca="1" t="shared" si="0"/>
        <v/>
      </c>
      <c r="T10" s="159" t="str">
        <f ca="1">IF(B10="","",IF(ISERROR(MATCH($J10,SorP!$B$1:$B$6261,0)),"",INDIRECT("'SorP'!$A$"&amp;MATCH($S10&amp;$J10,SorP!C:C,0))))</f>
        <v/>
      </c>
      <c r="U10" s="160"/>
      <c r="V10" s="161" t="e">
        <f ca="1">IF(C10="",NA(),IF(OR(C10="Smelter not listed",C10="Smelter not yet identified"),MATCH($B10&amp;$D10,'Smelter Look-up'!$J:$J,0),MATCH($B10&amp;$C10,'Smelter Look-up'!$J:$J,0)))</f>
        <v>#N/A</v>
      </c>
      <c r="X10" s="120">
        <f ca="1" t="shared" si="1"/>
        <v>0</v>
      </c>
      <c r="AB10" s="162" t="str">
        <f ca="1" t="shared" si="2"/>
        <v/>
      </c>
    </row>
    <row r="11" s="120" customFormat="1" ht="20" spans="1:34">
      <c r="A11" s="159"/>
      <c r="B11" s="151" t="str">
        <f ca="1">IF(LEN(A11)=0,"",INDEX('Smelter Look-up'!$A:$A,MATCH($A11,'Smelter Look-up'!$E:$E,0)))</f>
        <v/>
      </c>
      <c r="C11" s="152" t="str">
        <f ca="1">IF(LEN(A11)=0,"",INDEX('Smelter Look-up'!$C:$C,MATCH($A11,'Smelter Look-up'!$E:$E,0)))</f>
        <v/>
      </c>
      <c r="D11" s="153"/>
      <c r="E11" s="151" t="str">
        <f ca="1">IF(ISERROR($V11),"",OFFSET('Smelter Look-up'!$D$4,$V11-4,0)&amp;"")</f>
        <v/>
      </c>
      <c r="F11" s="151" t="str">
        <f ca="1">IF(ISERROR($V11),"",OFFSET('Smelter Look-up'!$E$4,$V11-4,0))</f>
        <v/>
      </c>
      <c r="G11" s="151" t="str">
        <f ca="1">IF(C11=$X$4,IF(ISERROR($V11),"Enter smelter details","RMI"),IF(ISERROR($V11),"",OFFSET('Smelter Look-up'!$F$4,$V11-4,0)))</f>
        <v/>
      </c>
      <c r="H11" s="154" t="str">
        <f ca="1">IF(ISERROR($V11),"",OFFSET('Smelter Look-up'!$G$4,$V11-4,0))</f>
        <v/>
      </c>
      <c r="I11" s="155" t="str">
        <f ca="1">IF(ISERROR($V11),"",OFFSET('Smelter Look-up'!$H$4,$V11-4,0))</f>
        <v/>
      </c>
      <c r="J11" s="155" t="str">
        <f ca="1">IF(ISERROR($V11),"",OFFSET('Smelter Look-up'!$I$4,$V11-4,0))</f>
        <v/>
      </c>
      <c r="K11" s="156"/>
      <c r="L11" s="156"/>
      <c r="M11" s="156"/>
      <c r="N11" s="156"/>
      <c r="O11" s="156"/>
      <c r="P11" s="157"/>
      <c r="Q11" s="158"/>
      <c r="R11" s="151" t="str">
        <f ca="1">IF(ISERROR($V11),"",OFFSET('Smelter Look-up'!$C$4,$V11-4,0)&amp;"")</f>
        <v/>
      </c>
      <c r="S11" s="159" t="str">
        <f ca="1" t="shared" si="0"/>
        <v/>
      </c>
      <c r="T11" s="159" t="str">
        <f ca="1">IF(B11="","",IF(ISERROR(MATCH($J11,SorP!$B$1:$B$6261,0)),"",INDIRECT("'SorP'!$A$"&amp;MATCH($S11&amp;$J11,SorP!C:C,0))))</f>
        <v/>
      </c>
      <c r="U11" s="160"/>
      <c r="V11" s="161" t="e">
        <f ca="1">IF(C11="",NA(),IF(OR(C11="Smelter not listed",C11="Smelter not yet identified"),MATCH($B11&amp;$D11,'Smelter Look-up'!$J:$J,0),MATCH($B11&amp;$C11,'Smelter Look-up'!$J:$J,0)))</f>
        <v>#N/A</v>
      </c>
      <c r="X11" s="120">
        <f ca="1" t="shared" si="1"/>
        <v>0</v>
      </c>
      <c r="AB11" s="162" t="str">
        <f ca="1" t="shared" si="2"/>
        <v/>
      </c>
    </row>
    <row r="12" s="120" customFormat="1" ht="20" spans="1:34">
      <c r="A12" s="159"/>
      <c r="B12" s="151" t="str">
        <f ca="1">IF(LEN(A12)=0,"",INDEX('Smelter Look-up'!$A:$A,MATCH($A12,'Smelter Look-up'!$E:$E,0)))</f>
        <v/>
      </c>
      <c r="C12" s="152" t="str">
        <f ca="1">IF(LEN(A12)=0,"",INDEX('Smelter Look-up'!$C:$C,MATCH($A12,'Smelter Look-up'!$E:$E,0)))</f>
        <v/>
      </c>
      <c r="D12" s="153"/>
      <c r="E12" s="151" t="str">
        <f ca="1">IF(ISERROR($V12),"",OFFSET('Smelter Look-up'!$D$4,$V12-4,0)&amp;"")</f>
        <v/>
      </c>
      <c r="F12" s="151" t="str">
        <f ca="1">IF(ISERROR($V12),"",OFFSET('Smelter Look-up'!$E$4,$V12-4,0))</f>
        <v/>
      </c>
      <c r="G12" s="151" t="str">
        <f ca="1">IF(C12=$X$4,IF(ISERROR($V12),"Enter smelter details","RMI"),IF(ISERROR($V12),"",OFFSET('Smelter Look-up'!$F$4,$V12-4,0)))</f>
        <v/>
      </c>
      <c r="H12" s="154" t="str">
        <f ca="1">IF(ISERROR($V12),"",OFFSET('Smelter Look-up'!$G$4,$V12-4,0))</f>
        <v/>
      </c>
      <c r="I12" s="155" t="str">
        <f ca="1">IF(ISERROR($V12),"",OFFSET('Smelter Look-up'!$H$4,$V12-4,0))</f>
        <v/>
      </c>
      <c r="J12" s="155" t="str">
        <f ca="1">IF(ISERROR($V12),"",OFFSET('Smelter Look-up'!$I$4,$V12-4,0))</f>
        <v/>
      </c>
      <c r="K12" s="156"/>
      <c r="L12" s="156"/>
      <c r="M12" s="156"/>
      <c r="N12" s="156"/>
      <c r="O12" s="156"/>
      <c r="P12" s="157"/>
      <c r="Q12" s="158"/>
      <c r="R12" s="151" t="str">
        <f ca="1">IF(ISERROR($V12),"",OFFSET('Smelter Look-up'!$C$4,$V12-4,0)&amp;"")</f>
        <v/>
      </c>
      <c r="S12" s="159" t="str">
        <f ca="1" t="shared" si="0"/>
        <v/>
      </c>
      <c r="T12" s="159" t="str">
        <f ca="1">IF(B12="","",IF(ISERROR(MATCH($J12,SorP!$B$1:$B$6261,0)),"",INDIRECT("'SorP'!$A$"&amp;MATCH($S12&amp;$J12,SorP!C:C,0))))</f>
        <v/>
      </c>
      <c r="U12" s="160"/>
      <c r="V12" s="161" t="e">
        <f ca="1">IF(C12="",NA(),IF(OR(C12="Smelter not listed",C12="Smelter not yet identified"),MATCH($B12&amp;$D12,'Smelter Look-up'!$J:$J,0),MATCH($B12&amp;$C12,'Smelter Look-up'!$J:$J,0)))</f>
        <v>#N/A</v>
      </c>
      <c r="X12" s="120">
        <f ca="1" t="shared" si="1"/>
        <v>0</v>
      </c>
      <c r="AB12" s="162" t="str">
        <f ca="1" t="shared" si="2"/>
        <v/>
      </c>
    </row>
    <row r="13" s="120" customFormat="1" ht="20" spans="1:34">
      <c r="A13" s="159"/>
      <c r="B13" s="151" t="str">
        <f ca="1">IF(LEN(A13)=0,"",INDEX('Smelter Look-up'!$A:$A,MATCH($A13,'Smelter Look-up'!$E:$E,0)))</f>
        <v/>
      </c>
      <c r="C13" s="152" t="str">
        <f ca="1">IF(LEN(A13)=0,"",INDEX('Smelter Look-up'!$C:$C,MATCH($A13,'Smelter Look-up'!$E:$E,0)))</f>
        <v/>
      </c>
      <c r="D13" s="153"/>
      <c r="E13" s="151" t="str">
        <f ca="1">IF(ISERROR($V13),"",OFFSET('Smelter Look-up'!$D$4,$V13-4,0)&amp;"")</f>
        <v/>
      </c>
      <c r="F13" s="151" t="str">
        <f ca="1">IF(ISERROR($V13),"",OFFSET('Smelter Look-up'!$E$4,$V13-4,0))</f>
        <v/>
      </c>
      <c r="G13" s="151" t="str">
        <f ca="1">IF(C13=$X$4,IF(ISERROR($V13),"Enter smelter details","RMI"),IF(ISERROR($V13),"",OFFSET('Smelter Look-up'!$F$4,$V13-4,0)))</f>
        <v/>
      </c>
      <c r="H13" s="154" t="str">
        <f ca="1">IF(ISERROR($V13),"",OFFSET('Smelter Look-up'!$G$4,$V13-4,0))</f>
        <v/>
      </c>
      <c r="I13" s="155" t="str">
        <f ca="1">IF(ISERROR($V13),"",OFFSET('Smelter Look-up'!$H$4,$V13-4,0))</f>
        <v/>
      </c>
      <c r="J13" s="155" t="str">
        <f ca="1">IF(ISERROR($V13),"",OFFSET('Smelter Look-up'!$I$4,$V13-4,0))</f>
        <v/>
      </c>
      <c r="K13" s="156"/>
      <c r="L13" s="156"/>
      <c r="M13" s="156"/>
      <c r="N13" s="156"/>
      <c r="O13" s="156"/>
      <c r="P13" s="157"/>
      <c r="Q13" s="158"/>
      <c r="R13" s="151" t="str">
        <f ca="1">IF(ISERROR($V13),"",OFFSET('Smelter Look-up'!$C$4,$V13-4,0)&amp;"")</f>
        <v/>
      </c>
      <c r="S13" s="159" t="str">
        <f ca="1" t="shared" si="0"/>
        <v/>
      </c>
      <c r="T13" s="159" t="str">
        <f ca="1">IF(B13="","",IF(ISERROR(MATCH($J13,SorP!$B$1:$B$6261,0)),"",INDIRECT("'SorP'!$A$"&amp;MATCH($S13&amp;$J13,SorP!C:C,0))))</f>
        <v/>
      </c>
      <c r="U13" s="160"/>
      <c r="V13" s="161" t="e">
        <f ca="1">IF(C13="",NA(),IF(OR(C13="Smelter not listed",C13="Smelter not yet identified"),MATCH($B13&amp;$D13,'Smelter Look-up'!$J:$J,0),MATCH($B13&amp;$C13,'Smelter Look-up'!$J:$J,0)))</f>
        <v>#N/A</v>
      </c>
      <c r="X13" s="120">
        <f ca="1" t="shared" si="1"/>
        <v>0</v>
      </c>
      <c r="AB13" s="162" t="str">
        <f ca="1" t="shared" si="2"/>
        <v/>
      </c>
    </row>
    <row r="14" s="120" customFormat="1" ht="20" spans="1:34">
      <c r="A14" s="159"/>
      <c r="B14" s="151" t="str">
        <f ca="1">IF(LEN(A14)=0,"",INDEX('Smelter Look-up'!$A:$A,MATCH($A14,'Smelter Look-up'!$E:$E,0)))</f>
        <v/>
      </c>
      <c r="C14" s="152" t="str">
        <f ca="1">IF(LEN(A14)=0,"",INDEX('Smelter Look-up'!$C:$C,MATCH($A14,'Smelter Look-up'!$E:$E,0)))</f>
        <v/>
      </c>
      <c r="D14" s="153"/>
      <c r="E14" s="151" t="str">
        <f ca="1">IF(ISERROR($V14),"",OFFSET('Smelter Look-up'!$D$4,$V14-4,0)&amp;"")</f>
        <v/>
      </c>
      <c r="F14" s="151" t="str">
        <f ca="1">IF(ISERROR($V14),"",OFFSET('Smelter Look-up'!$E$4,$V14-4,0))</f>
        <v/>
      </c>
      <c r="G14" s="151" t="str">
        <f ca="1">IF(C14=$X$4,IF(ISERROR($V14),"Enter smelter details","RMI"),IF(ISERROR($V14),"",OFFSET('Smelter Look-up'!$F$4,$V14-4,0)))</f>
        <v/>
      </c>
      <c r="H14" s="154" t="str">
        <f ca="1">IF(ISERROR($V14),"",OFFSET('Smelter Look-up'!$G$4,$V14-4,0))</f>
        <v/>
      </c>
      <c r="I14" s="155" t="str">
        <f ca="1">IF(ISERROR($V14),"",OFFSET('Smelter Look-up'!$H$4,$V14-4,0))</f>
        <v/>
      </c>
      <c r="J14" s="155" t="str">
        <f ca="1">IF(ISERROR($V14),"",OFFSET('Smelter Look-up'!$I$4,$V14-4,0))</f>
        <v/>
      </c>
      <c r="K14" s="156"/>
      <c r="L14" s="156"/>
      <c r="M14" s="156"/>
      <c r="N14" s="156"/>
      <c r="O14" s="156"/>
      <c r="P14" s="157"/>
      <c r="Q14" s="158"/>
      <c r="R14" s="151" t="str">
        <f ca="1">IF(ISERROR($V14),"",OFFSET('Smelter Look-up'!$C$4,$V14-4,0)&amp;"")</f>
        <v/>
      </c>
      <c r="S14" s="159" t="str">
        <f ca="1" t="shared" si="0"/>
        <v/>
      </c>
      <c r="T14" s="159" t="str">
        <f ca="1">IF(B14="","",IF(ISERROR(MATCH($J14,SorP!$B$1:$B$6261,0)),"",INDIRECT("'SorP'!$A$"&amp;MATCH($S14&amp;$J14,SorP!C:C,0))))</f>
        <v/>
      </c>
      <c r="U14" s="160"/>
      <c r="V14" s="161" t="e">
        <f ca="1">IF(C14="",NA(),IF(OR(C14="Smelter not listed",C14="Smelter not yet identified"),MATCH($B14&amp;$D14,'Smelter Look-up'!$J:$J,0),MATCH($B14&amp;$C14,'Smelter Look-up'!$J:$J,0)))</f>
        <v>#N/A</v>
      </c>
      <c r="X14" s="120">
        <f ca="1" t="shared" si="1"/>
        <v>0</v>
      </c>
      <c r="AB14" s="162" t="str">
        <f ca="1" t="shared" si="2"/>
        <v/>
      </c>
    </row>
    <row r="15" s="120" customFormat="1" ht="20" spans="1:34">
      <c r="A15" s="159"/>
      <c r="B15" s="151" t="str">
        <f ca="1">IF(LEN(A15)=0,"",INDEX('Smelter Look-up'!$A:$A,MATCH($A15,'Smelter Look-up'!$E:$E,0)))</f>
        <v/>
      </c>
      <c r="C15" s="152" t="str">
        <f ca="1">IF(LEN(A15)=0,"",INDEX('Smelter Look-up'!$C:$C,MATCH($A15,'Smelter Look-up'!$E:$E,0)))</f>
        <v/>
      </c>
      <c r="D15" s="153"/>
      <c r="E15" s="151" t="str">
        <f ca="1">IF(ISERROR($V15),"",OFFSET('Smelter Look-up'!$D$4,$V15-4,0)&amp;"")</f>
        <v/>
      </c>
      <c r="F15" s="151" t="str">
        <f ca="1">IF(ISERROR($V15),"",OFFSET('Smelter Look-up'!$E$4,$V15-4,0))</f>
        <v/>
      </c>
      <c r="G15" s="151" t="str">
        <f ca="1">IF(C15=$X$4,IF(ISERROR($V15),"Enter smelter details","RMI"),IF(ISERROR($V15),"",OFFSET('Smelter Look-up'!$F$4,$V15-4,0)))</f>
        <v/>
      </c>
      <c r="H15" s="154" t="str">
        <f ca="1">IF(ISERROR($V15),"",OFFSET('Smelter Look-up'!$G$4,$V15-4,0))</f>
        <v/>
      </c>
      <c r="I15" s="155" t="str">
        <f ca="1">IF(ISERROR($V15),"",OFFSET('Smelter Look-up'!$H$4,$V15-4,0))</f>
        <v/>
      </c>
      <c r="J15" s="155" t="str">
        <f ca="1">IF(ISERROR($V15),"",OFFSET('Smelter Look-up'!$I$4,$V15-4,0))</f>
        <v/>
      </c>
      <c r="K15" s="156"/>
      <c r="L15" s="156"/>
      <c r="M15" s="156"/>
      <c r="N15" s="156"/>
      <c r="O15" s="156"/>
      <c r="P15" s="157"/>
      <c r="Q15" s="158"/>
      <c r="R15" s="151" t="str">
        <f ca="1">IF(ISERROR($V15),"",OFFSET('Smelter Look-up'!$C$4,$V15-4,0)&amp;"")</f>
        <v/>
      </c>
      <c r="S15" s="159" t="str">
        <f ca="1" t="shared" si="0"/>
        <v/>
      </c>
      <c r="T15" s="159" t="str">
        <f ca="1">IF(B15="","",IF(ISERROR(MATCH($J15,SorP!$B$1:$B$6261,0)),"",INDIRECT("'SorP'!$A$"&amp;MATCH($S15&amp;$J15,SorP!C:C,0))))</f>
        <v/>
      </c>
      <c r="U15" s="160"/>
      <c r="V15" s="161" t="e">
        <f ca="1">IF(C15="",NA(),IF(OR(C15="Smelter not listed",C15="Smelter not yet identified"),MATCH($B15&amp;$D15,'Smelter Look-up'!$J:$J,0),MATCH($B15&amp;$C15,'Smelter Look-up'!$J:$J,0)))</f>
        <v>#N/A</v>
      </c>
      <c r="X15" s="120">
        <f ca="1" t="shared" si="1"/>
        <v>0</v>
      </c>
      <c r="AB15" s="162" t="str">
        <f ca="1" t="shared" si="2"/>
        <v/>
      </c>
    </row>
    <row r="16" s="120" customFormat="1" ht="20" spans="1:34">
      <c r="A16" s="159"/>
      <c r="B16" s="151" t="str">
        <f ca="1">IF(LEN(A16)=0,"",INDEX('Smelter Look-up'!$A:$A,MATCH($A16,'Smelter Look-up'!$E:$E,0)))</f>
        <v/>
      </c>
      <c r="C16" s="152" t="str">
        <f ca="1">IF(LEN(A16)=0,"",INDEX('Smelter Look-up'!$C:$C,MATCH($A16,'Smelter Look-up'!$E:$E,0)))</f>
        <v/>
      </c>
      <c r="D16" s="153"/>
      <c r="E16" s="151" t="str">
        <f ca="1">IF(ISERROR($V16),"",OFFSET('Smelter Look-up'!$D$4,$V16-4,0)&amp;"")</f>
        <v/>
      </c>
      <c r="F16" s="151" t="str">
        <f ca="1">IF(ISERROR($V16),"",OFFSET('Smelter Look-up'!$E$4,$V16-4,0))</f>
        <v/>
      </c>
      <c r="G16" s="151" t="str">
        <f ca="1">IF(C16=$X$4,IF(ISERROR($V16),"Enter smelter details","RMI"),IF(ISERROR($V16),"",OFFSET('Smelter Look-up'!$F$4,$V16-4,0)))</f>
        <v/>
      </c>
      <c r="H16" s="154" t="str">
        <f ca="1">IF(ISERROR($V16),"",OFFSET('Smelter Look-up'!$G$4,$V16-4,0))</f>
        <v/>
      </c>
      <c r="I16" s="155" t="str">
        <f ca="1">IF(ISERROR($V16),"",OFFSET('Smelter Look-up'!$H$4,$V16-4,0))</f>
        <v/>
      </c>
      <c r="J16" s="155" t="str">
        <f ca="1">IF(ISERROR($V16),"",OFFSET('Smelter Look-up'!$I$4,$V16-4,0))</f>
        <v/>
      </c>
      <c r="K16" s="156"/>
      <c r="L16" s="156"/>
      <c r="M16" s="156"/>
      <c r="N16" s="156"/>
      <c r="O16" s="156"/>
      <c r="P16" s="157"/>
      <c r="Q16" s="158"/>
      <c r="R16" s="151" t="str">
        <f ca="1">IF(ISERROR($V16),"",OFFSET('Smelter Look-up'!$C$4,$V16-4,0)&amp;"")</f>
        <v/>
      </c>
      <c r="S16" s="159" t="str">
        <f ca="1" t="shared" si="0"/>
        <v/>
      </c>
      <c r="T16" s="159" t="str">
        <f ca="1">IF(B16="","",IF(ISERROR(MATCH($J16,SorP!$B$1:$B$6261,0)),"",INDIRECT("'SorP'!$A$"&amp;MATCH($S16&amp;$J16,SorP!C:C,0))))</f>
        <v/>
      </c>
      <c r="U16" s="160"/>
      <c r="V16" s="161" t="e">
        <f ca="1">IF(C16="",NA(),IF(OR(C16="Smelter not listed",C16="Smelter not yet identified"),MATCH($B16&amp;$D16,'Smelter Look-up'!$J:$J,0),MATCH($B16&amp;$C16,'Smelter Look-up'!$J:$J,0)))</f>
        <v>#N/A</v>
      </c>
      <c r="X16" s="120">
        <f ca="1" t="shared" si="1"/>
        <v>0</v>
      </c>
      <c r="AB16" s="162" t="str">
        <f ca="1" t="shared" si="2"/>
        <v/>
      </c>
    </row>
    <row r="17" s="120" customFormat="1" ht="20" spans="1:28">
      <c r="A17" s="159"/>
      <c r="B17" s="151" t="str">
        <f ca="1">IF(LEN(A17)=0,"",INDEX('Smelter Look-up'!$A:$A,MATCH($A17,'Smelter Look-up'!$E:$E,0)))</f>
        <v/>
      </c>
      <c r="C17" s="152" t="str">
        <f ca="1">IF(LEN(A17)=0,"",INDEX('Smelter Look-up'!$C:$C,MATCH($A17,'Smelter Look-up'!$E:$E,0)))</f>
        <v/>
      </c>
      <c r="D17" s="153"/>
      <c r="E17" s="151" t="str">
        <f ca="1">IF(ISERROR($V17),"",OFFSET('Smelter Look-up'!$D$4,$V17-4,0)&amp;"")</f>
        <v/>
      </c>
      <c r="F17" s="151" t="str">
        <f ca="1">IF(ISERROR($V17),"",OFFSET('Smelter Look-up'!$E$4,$V17-4,0))</f>
        <v/>
      </c>
      <c r="G17" s="151" t="str">
        <f ca="1">IF(C17=$X$4,IF(ISERROR($V17),"Enter smelter details","RMI"),IF(ISERROR($V17),"",OFFSET('Smelter Look-up'!$F$4,$V17-4,0)))</f>
        <v/>
      </c>
      <c r="H17" s="154" t="str">
        <f ca="1">IF(ISERROR($V17),"",OFFSET('Smelter Look-up'!$G$4,$V17-4,0))</f>
        <v/>
      </c>
      <c r="I17" s="155" t="str">
        <f ca="1">IF(ISERROR($V17),"",OFFSET('Smelter Look-up'!$H$4,$V17-4,0))</f>
        <v/>
      </c>
      <c r="J17" s="155" t="str">
        <f ca="1">IF(ISERROR($V17),"",OFFSET('Smelter Look-up'!$I$4,$V17-4,0))</f>
        <v/>
      </c>
      <c r="K17" s="156"/>
      <c r="L17" s="156"/>
      <c r="M17" s="156"/>
      <c r="N17" s="156"/>
      <c r="O17" s="156"/>
      <c r="P17" s="157"/>
      <c r="Q17" s="158"/>
      <c r="R17" s="151" t="str">
        <f ca="1">IF(ISERROR($V17),"",OFFSET('Smelter Look-up'!$C$4,$V17-4,0)&amp;"")</f>
        <v/>
      </c>
      <c r="S17" s="159" t="str">
        <f ca="1" t="shared" si="0"/>
        <v/>
      </c>
      <c r="T17" s="159" t="str">
        <f ca="1">IF(B17="","",IF(ISERROR(MATCH($J17,SorP!$B$1:$B$6261,0)),"",INDIRECT("'SorP'!$A$"&amp;MATCH($S17&amp;$J17,SorP!C:C,0))))</f>
        <v/>
      </c>
      <c r="U17" s="160"/>
      <c r="V17" s="161" t="e">
        <f ca="1">IF(C17="",NA(),IF(OR(C17="Smelter not listed",C17="Smelter not yet identified"),MATCH($B17&amp;$D17,'Smelter Look-up'!$J:$J,0),MATCH($B17&amp;$C17,'Smelter Look-up'!$J:$J,0)))</f>
        <v>#N/A</v>
      </c>
      <c r="X17" s="120">
        <f ca="1" t="shared" si="1"/>
        <v>0</v>
      </c>
      <c r="AB17" s="162" t="str">
        <f ca="1" t="shared" si="2"/>
        <v/>
      </c>
    </row>
    <row r="18" s="120" customFormat="1" ht="20" spans="1:28">
      <c r="A18" s="159"/>
      <c r="B18" s="151" t="str">
        <f ca="1">IF(LEN(A18)=0,"",INDEX('Smelter Look-up'!$A:$A,MATCH($A18,'Smelter Look-up'!$E:$E,0)))</f>
        <v/>
      </c>
      <c r="C18" s="152" t="str">
        <f ca="1">IF(LEN(A18)=0,"",INDEX('Smelter Look-up'!$C:$C,MATCH($A18,'Smelter Look-up'!$E:$E,0)))</f>
        <v/>
      </c>
      <c r="D18" s="153"/>
      <c r="E18" s="151" t="str">
        <f ca="1">IF(ISERROR($V18),"",OFFSET('Smelter Look-up'!$D$4,$V18-4,0)&amp;"")</f>
        <v/>
      </c>
      <c r="F18" s="151" t="str">
        <f ca="1">IF(ISERROR($V18),"",OFFSET('Smelter Look-up'!$E$4,$V18-4,0))</f>
        <v/>
      </c>
      <c r="G18" s="151" t="str">
        <f ca="1">IF(C18=$X$4,IF(ISERROR($V18),"Enter smelter details","RMI"),IF(ISERROR($V18),"",OFFSET('Smelter Look-up'!$F$4,$V18-4,0)))</f>
        <v/>
      </c>
      <c r="H18" s="154" t="str">
        <f ca="1">IF(ISERROR($V18),"",OFFSET('Smelter Look-up'!$G$4,$V18-4,0))</f>
        <v/>
      </c>
      <c r="I18" s="155" t="str">
        <f ca="1">IF(ISERROR($V18),"",OFFSET('Smelter Look-up'!$H$4,$V18-4,0))</f>
        <v/>
      </c>
      <c r="J18" s="155" t="str">
        <f ca="1">IF(ISERROR($V18),"",OFFSET('Smelter Look-up'!$I$4,$V18-4,0))</f>
        <v/>
      </c>
      <c r="K18" s="156"/>
      <c r="L18" s="156"/>
      <c r="M18" s="156"/>
      <c r="N18" s="156"/>
      <c r="O18" s="156"/>
      <c r="P18" s="157"/>
      <c r="Q18" s="158"/>
      <c r="R18" s="151" t="str">
        <f ca="1">IF(ISERROR($V18),"",OFFSET('Smelter Look-up'!$C$4,$V18-4,0)&amp;"")</f>
        <v/>
      </c>
      <c r="S18" s="159" t="str">
        <f ca="1" t="shared" si="0"/>
        <v/>
      </c>
      <c r="T18" s="159" t="str">
        <f ca="1">IF(B18="","",IF(ISERROR(MATCH($J18,SorP!$B$1:$B$6261,0)),"",INDIRECT("'SorP'!$A$"&amp;MATCH($S18&amp;$J18,SorP!C:C,0))))</f>
        <v/>
      </c>
      <c r="U18" s="160"/>
      <c r="V18" s="161" t="e">
        <f ca="1">IF(C18="",NA(),IF(OR(C18="Smelter not listed",C18="Smelter not yet identified"),MATCH($B18&amp;$D18,'Smelter Look-up'!$J:$J,0),MATCH($B18&amp;$C18,'Smelter Look-up'!$J:$J,0)))</f>
        <v>#N/A</v>
      </c>
      <c r="X18" s="120">
        <f ca="1" t="shared" si="1"/>
        <v>0</v>
      </c>
      <c r="AB18" s="162" t="str">
        <f ca="1" t="shared" si="2"/>
        <v/>
      </c>
    </row>
    <row r="19" s="120" customFormat="1" ht="20" spans="1:28">
      <c r="A19" s="159"/>
      <c r="B19" s="151" t="str">
        <f ca="1">IF(LEN(A19)=0,"",INDEX('Smelter Look-up'!$A:$A,MATCH($A19,'Smelter Look-up'!$E:$E,0)))</f>
        <v/>
      </c>
      <c r="C19" s="152" t="str">
        <f ca="1">IF(LEN(A19)=0,"",INDEX('Smelter Look-up'!$C:$C,MATCH($A19,'Smelter Look-up'!$E:$E,0)))</f>
        <v/>
      </c>
      <c r="D19" s="153"/>
      <c r="E19" s="151" t="str">
        <f ca="1">IF(ISERROR($V19),"",OFFSET('Smelter Look-up'!$D$4,$V19-4,0)&amp;"")</f>
        <v/>
      </c>
      <c r="F19" s="151" t="str">
        <f ca="1">IF(ISERROR($V19),"",OFFSET('Smelter Look-up'!$E$4,$V19-4,0))</f>
        <v/>
      </c>
      <c r="G19" s="151" t="str">
        <f ca="1">IF(C19=$X$4,IF(ISERROR($V19),"Enter smelter details","RMI"),IF(ISERROR($V19),"",OFFSET('Smelter Look-up'!$F$4,$V19-4,0)))</f>
        <v/>
      </c>
      <c r="H19" s="154" t="str">
        <f ca="1">IF(ISERROR($V19),"",OFFSET('Smelter Look-up'!$G$4,$V19-4,0))</f>
        <v/>
      </c>
      <c r="I19" s="155" t="str">
        <f ca="1">IF(ISERROR($V19),"",OFFSET('Smelter Look-up'!$H$4,$V19-4,0))</f>
        <v/>
      </c>
      <c r="J19" s="155" t="str">
        <f ca="1">IF(ISERROR($V19),"",OFFSET('Smelter Look-up'!$I$4,$V19-4,0))</f>
        <v/>
      </c>
      <c r="K19" s="156"/>
      <c r="L19" s="156"/>
      <c r="M19" s="156"/>
      <c r="N19" s="156"/>
      <c r="O19" s="156"/>
      <c r="P19" s="157"/>
      <c r="Q19" s="158"/>
      <c r="R19" s="151" t="str">
        <f ca="1">IF(ISERROR($V19),"",OFFSET('Smelter Look-up'!$C$4,$V19-4,0)&amp;"")</f>
        <v/>
      </c>
      <c r="S19" s="159" t="str">
        <f ca="1" t="shared" si="0"/>
        <v/>
      </c>
      <c r="T19" s="159" t="str">
        <f ca="1">IF(B19="","",IF(ISERROR(MATCH($J19,SorP!$B$1:$B$6261,0)),"",INDIRECT("'SorP'!$A$"&amp;MATCH($S19&amp;$J19,SorP!C:C,0))))</f>
        <v/>
      </c>
      <c r="U19" s="160"/>
      <c r="V19" s="161" t="e">
        <f ca="1">IF(C19="",NA(),IF(OR(C19="Smelter not listed",C19="Smelter not yet identified"),MATCH($B19&amp;$D19,'Smelter Look-up'!$J:$J,0),MATCH($B19&amp;$C19,'Smelter Look-up'!$J:$J,0)))</f>
        <v>#N/A</v>
      </c>
      <c r="X19" s="120">
        <f ca="1" t="shared" si="1"/>
        <v>0</v>
      </c>
      <c r="AB19" s="162" t="str">
        <f ca="1" t="shared" si="2"/>
        <v/>
      </c>
    </row>
    <row r="20" s="120" customFormat="1" ht="20" spans="1:28">
      <c r="A20" s="159"/>
      <c r="B20" s="151" t="str">
        <f ca="1">IF(LEN(A20)=0,"",INDEX('Smelter Look-up'!$A:$A,MATCH($A20,'Smelter Look-up'!$E:$E,0)))</f>
        <v/>
      </c>
      <c r="C20" s="152" t="str">
        <f ca="1">IF(LEN(A20)=0,"",INDEX('Smelter Look-up'!$C:$C,MATCH($A20,'Smelter Look-up'!$E:$E,0)))</f>
        <v/>
      </c>
      <c r="D20" s="153"/>
      <c r="E20" s="151" t="str">
        <f ca="1">IF(ISERROR($V20),"",OFFSET('Smelter Look-up'!$D$4,$V20-4,0)&amp;"")</f>
        <v/>
      </c>
      <c r="F20" s="151" t="str">
        <f ca="1">IF(ISERROR($V20),"",OFFSET('Smelter Look-up'!$E$4,$V20-4,0))</f>
        <v/>
      </c>
      <c r="G20" s="151" t="str">
        <f ca="1">IF(C20=$X$4,IF(ISERROR($V20),"Enter smelter details","RMI"),IF(ISERROR($V20),"",OFFSET('Smelter Look-up'!$F$4,$V20-4,0)))</f>
        <v/>
      </c>
      <c r="H20" s="154" t="str">
        <f ca="1">IF(ISERROR($V20),"",OFFSET('Smelter Look-up'!$G$4,$V20-4,0))</f>
        <v/>
      </c>
      <c r="I20" s="155" t="str">
        <f ca="1">IF(ISERROR($V20),"",OFFSET('Smelter Look-up'!$H$4,$V20-4,0))</f>
        <v/>
      </c>
      <c r="J20" s="155" t="str">
        <f ca="1">IF(ISERROR($V20),"",OFFSET('Smelter Look-up'!$I$4,$V20-4,0))</f>
        <v/>
      </c>
      <c r="K20" s="156"/>
      <c r="L20" s="156"/>
      <c r="M20" s="156"/>
      <c r="N20" s="156"/>
      <c r="O20" s="156"/>
      <c r="P20" s="157"/>
      <c r="Q20" s="158"/>
      <c r="R20" s="151" t="str">
        <f ca="1">IF(ISERROR($V20),"",OFFSET('Smelter Look-up'!$C$4,$V20-4,0)&amp;"")</f>
        <v/>
      </c>
      <c r="S20" s="159" t="str">
        <f ca="1" t="shared" si="0"/>
        <v/>
      </c>
      <c r="T20" s="159" t="str">
        <f ca="1">IF(B20="","",IF(ISERROR(MATCH($J20,SorP!$B$1:$B$6261,0)),"",INDIRECT("'SorP'!$A$"&amp;MATCH($S20&amp;$J20,SorP!C:C,0))))</f>
        <v/>
      </c>
      <c r="U20" s="160"/>
      <c r="V20" s="161" t="e">
        <f ca="1">IF(C20="",NA(),IF(OR(C20="Smelter not listed",C20="Smelter not yet identified"),MATCH($B20&amp;$D20,'Smelter Look-up'!$J:$J,0),MATCH($B20&amp;$C20,'Smelter Look-up'!$J:$J,0)))</f>
        <v>#N/A</v>
      </c>
      <c r="X20" s="120">
        <f ca="1" t="shared" si="1"/>
        <v>0</v>
      </c>
      <c r="AB20" s="162" t="str">
        <f ca="1" t="shared" si="2"/>
        <v/>
      </c>
    </row>
    <row r="21" s="120" customFormat="1" ht="20" spans="1:28">
      <c r="A21" s="159"/>
      <c r="B21" s="151" t="str">
        <f ca="1">IF(LEN(A21)=0,"",INDEX('Smelter Look-up'!$A:$A,MATCH($A21,'Smelter Look-up'!$E:$E,0)))</f>
        <v/>
      </c>
      <c r="C21" s="152" t="str">
        <f ca="1">IF(LEN(A21)=0,"",INDEX('Smelter Look-up'!$C:$C,MATCH($A21,'Smelter Look-up'!$E:$E,0)))</f>
        <v/>
      </c>
      <c r="D21" s="153"/>
      <c r="E21" s="151" t="str">
        <f ca="1">IF(ISERROR($V21),"",OFFSET('Smelter Look-up'!$D$4,$V21-4,0)&amp;"")</f>
        <v/>
      </c>
      <c r="F21" s="151" t="str">
        <f ca="1">IF(ISERROR($V21),"",OFFSET('Smelter Look-up'!$E$4,$V21-4,0))</f>
        <v/>
      </c>
      <c r="G21" s="151" t="str">
        <f ca="1">IF(C21=$X$4,IF(ISERROR($V21),"Enter smelter details","RMI"),IF(ISERROR($V21),"",OFFSET('Smelter Look-up'!$F$4,$V21-4,0)))</f>
        <v/>
      </c>
      <c r="H21" s="154" t="str">
        <f ca="1">IF(ISERROR($V21),"",OFFSET('Smelter Look-up'!$G$4,$V21-4,0))</f>
        <v/>
      </c>
      <c r="I21" s="155" t="str">
        <f ca="1">IF(ISERROR($V21),"",OFFSET('Smelter Look-up'!$H$4,$V21-4,0))</f>
        <v/>
      </c>
      <c r="J21" s="155" t="str">
        <f ca="1">IF(ISERROR($V21),"",OFFSET('Smelter Look-up'!$I$4,$V21-4,0))</f>
        <v/>
      </c>
      <c r="K21" s="156"/>
      <c r="L21" s="156"/>
      <c r="M21" s="156"/>
      <c r="N21" s="156"/>
      <c r="O21" s="156"/>
      <c r="P21" s="157"/>
      <c r="Q21" s="158"/>
      <c r="R21" s="151" t="str">
        <f ca="1">IF(ISERROR($V21),"",OFFSET('Smelter Look-up'!$C$4,$V21-4,0)&amp;"")</f>
        <v/>
      </c>
      <c r="S21" s="159" t="str">
        <f ca="1" t="shared" si="0"/>
        <v/>
      </c>
      <c r="T21" s="159" t="str">
        <f ca="1">IF(B21="","",IF(ISERROR(MATCH($J21,SorP!$B$1:$B$6261,0)),"",INDIRECT("'SorP'!$A$"&amp;MATCH($S21&amp;$J21,SorP!C:C,0))))</f>
        <v/>
      </c>
      <c r="U21" s="160"/>
      <c r="V21" s="161" t="e">
        <f ca="1">IF(C21="",NA(),IF(OR(C21="Smelter not listed",C21="Smelter not yet identified"),MATCH($B21&amp;$D21,'Smelter Look-up'!$J:$J,0),MATCH($B21&amp;$C21,'Smelter Look-up'!$J:$J,0)))</f>
        <v>#N/A</v>
      </c>
      <c r="X21" s="120">
        <f ca="1" t="shared" si="1"/>
        <v>0</v>
      </c>
      <c r="AB21" s="162" t="str">
        <f ca="1" t="shared" si="2"/>
        <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 t="shared" si="0"/>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1"/>
        <v>0</v>
      </c>
      <c r="AB22" s="162" t="str">
        <f ca="1" t="shared" si="2"/>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 t="shared" si="0"/>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1"/>
        <v>0</v>
      </c>
      <c r="AB23" s="162" t="str">
        <f ca="1" t="shared" si="2"/>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 t="shared" si="0"/>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1"/>
        <v>0</v>
      </c>
      <c r="AB24" s="162" t="str">
        <f ca="1" t="shared" si="2"/>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 t="shared" si="0"/>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1"/>
        <v>0</v>
      </c>
      <c r="AB25" s="162" t="str">
        <f ca="1" t="shared" si="2"/>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 t="shared" ref="S26" si="3">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ref="X26" si="4">IF(AND(C26="Smelter not listed",OR(LEN(D26)=0,LEN(E26)=0)),1,0)</f>
        <v>0</v>
      </c>
      <c r="AB26" s="162" t="str">
        <f ca="1" t="shared" ref="AB26" si="5">B26&amp;C26</f>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 t="shared" ref="S27:S58" si="6">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ref="X27:X58" si="7">IF(AND(C27="Smelter not listed",OR(LEN(D27)=0,LEN(E27)=0)),1,0)</f>
        <v>0</v>
      </c>
      <c r="AB27" s="162" t="str">
        <f ca="1" t="shared" ref="AB27:AB58" si="8">B27&amp;C27</f>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 t="shared" si="6"/>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7"/>
        <v>0</v>
      </c>
      <c r="AB28" s="162" t="str">
        <f ca="1" t="shared" si="8"/>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 t="shared" si="6"/>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7"/>
        <v>0</v>
      </c>
      <c r="AB29" s="162" t="str">
        <f ca="1" t="shared" si="8"/>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 t="shared" si="6"/>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7"/>
        <v>0</v>
      </c>
      <c r="AB30" s="162" t="str">
        <f ca="1" t="shared" si="8"/>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 t="shared" si="6"/>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7"/>
        <v>0</v>
      </c>
      <c r="AB31" s="162" t="str">
        <f ca="1" t="shared" si="8"/>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 t="shared" si="6"/>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7"/>
        <v>0</v>
      </c>
      <c r="AB32" s="162" t="str">
        <f ca="1" t="shared" si="8"/>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si="6"/>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7"/>
        <v>0</v>
      </c>
      <c r="AB33" s="162" t="str">
        <f ca="1" t="shared" si="8"/>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si="6"/>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si="7"/>
        <v>0</v>
      </c>
      <c r="AB34" s="162" t="str">
        <f ca="1" t="shared" si="8"/>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6"/>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7"/>
        <v>0</v>
      </c>
      <c r="AB35" s="162" t="str">
        <f ca="1" t="shared" si="8"/>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6"/>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7"/>
        <v>0</v>
      </c>
      <c r="AB36" s="162" t="str">
        <f ca="1" t="shared" si="8"/>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6"/>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7"/>
        <v>0</v>
      </c>
      <c r="AB37" s="162" t="str">
        <f ca="1" t="shared" si="8"/>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6"/>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7"/>
        <v>0</v>
      </c>
      <c r="AB38" s="162" t="str">
        <f ca="1" t="shared" si="8"/>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6"/>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7"/>
        <v>0</v>
      </c>
      <c r="AB39" s="162" t="str">
        <f ca="1" t="shared" si="8"/>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6"/>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7"/>
        <v>0</v>
      </c>
      <c r="AB40" s="162" t="str">
        <f ca="1" t="shared" si="8"/>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6"/>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7"/>
        <v>0</v>
      </c>
      <c r="AB41" s="162" t="str">
        <f ca="1" t="shared" si="8"/>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6"/>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7"/>
        <v>0</v>
      </c>
      <c r="AB42" s="162" t="str">
        <f ca="1" t="shared" si="8"/>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6"/>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7"/>
        <v>0</v>
      </c>
      <c r="AB43" s="162" t="str">
        <f ca="1" t="shared" si="8"/>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6"/>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7"/>
        <v>0</v>
      </c>
      <c r="AB44" s="162" t="str">
        <f ca="1" t="shared" si="8"/>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6"/>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7"/>
        <v>0</v>
      </c>
      <c r="AB45" s="162" t="str">
        <f ca="1" t="shared" si="8"/>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6"/>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7"/>
        <v>0</v>
      </c>
      <c r="AB46" s="162" t="str">
        <f ca="1" t="shared" si="8"/>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6"/>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7"/>
        <v>0</v>
      </c>
      <c r="AB47" s="162" t="str">
        <f ca="1" t="shared" si="8"/>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6"/>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7"/>
        <v>0</v>
      </c>
      <c r="AB48" s="162" t="str">
        <f ca="1" t="shared" si="8"/>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6"/>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7"/>
        <v>0</v>
      </c>
      <c r="AB49" s="162" t="str">
        <f ca="1" t="shared" si="8"/>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6"/>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7"/>
        <v>0</v>
      </c>
      <c r="AB50" s="162" t="str">
        <f ca="1" t="shared" si="8"/>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6"/>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7"/>
        <v>0</v>
      </c>
      <c r="AB51" s="162" t="str">
        <f ca="1" t="shared" si="8"/>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6"/>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7"/>
        <v>0</v>
      </c>
      <c r="AB52" s="162" t="str">
        <f ca="1" t="shared" si="8"/>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6"/>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7"/>
        <v>0</v>
      </c>
      <c r="AB53" s="162" t="str">
        <f ca="1" t="shared" si="8"/>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6"/>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7"/>
        <v>0</v>
      </c>
      <c r="AB54" s="162" t="str">
        <f ca="1" t="shared" si="8"/>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6"/>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7"/>
        <v>0</v>
      </c>
      <c r="AB55" s="162" t="str">
        <f ca="1" t="shared" si="8"/>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6"/>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7"/>
        <v>0</v>
      </c>
      <c r="AB56" s="162" t="str">
        <f ca="1" t="shared" si="8"/>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6"/>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7"/>
        <v>0</v>
      </c>
      <c r="AB57" s="162" t="str">
        <f ca="1" t="shared" si="8"/>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6"/>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7"/>
        <v>0</v>
      </c>
      <c r="AB58" s="162" t="str">
        <f ca="1" t="shared" si="8"/>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ref="S59:S89" si="9">IF(B59="","",IF(ISERROR(MATCH($E59,CL,0)),"Unknown",INDIRECT("'C'!$A$"&amp;MATCH($E59,CL,0)+1)))</f>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ref="X59:X89" si="10">IF(AND(C59="Smelter not listed",OR(LEN(D59)=0,LEN(E59)=0)),1,0)</f>
        <v>0</v>
      </c>
      <c r="AB59" s="162" t="str">
        <f ca="1" t="shared" ref="AB59:AB89" si="11">B59&amp;C59</f>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9"/>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0"/>
        <v>0</v>
      </c>
      <c r="AB60" s="162" t="str">
        <f ca="1" t="shared" si="11"/>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9"/>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0"/>
        <v>0</v>
      </c>
      <c r="AB61" s="162" t="str">
        <f ca="1" t="shared" si="11"/>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9"/>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0"/>
        <v>0</v>
      </c>
      <c r="AB62" s="162" t="str">
        <f ca="1" t="shared" si="11"/>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9"/>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0"/>
        <v>0</v>
      </c>
      <c r="AB63" s="162" t="str">
        <f ca="1" t="shared" si="11"/>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9"/>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0"/>
        <v>0</v>
      </c>
      <c r="AB64" s="162" t="str">
        <f ca="1" t="shared" si="11"/>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9"/>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0"/>
        <v>0</v>
      </c>
      <c r="AB65" s="162" t="str">
        <f ca="1" t="shared" si="11"/>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9"/>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0"/>
        <v>0</v>
      </c>
      <c r="AB66" s="162" t="str">
        <f ca="1" t="shared" si="11"/>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9"/>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0"/>
        <v>0</v>
      </c>
      <c r="AB67" s="162" t="str">
        <f ca="1" t="shared" si="11"/>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9"/>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0"/>
        <v>0</v>
      </c>
      <c r="AB68" s="162" t="str">
        <f ca="1" t="shared" si="11"/>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9"/>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0"/>
        <v>0</v>
      </c>
      <c r="AB69" s="162" t="str">
        <f ca="1" t="shared" si="11"/>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9"/>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0"/>
        <v>0</v>
      </c>
      <c r="AB70" s="162" t="str">
        <f ca="1" t="shared" si="11"/>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9"/>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0"/>
        <v>0</v>
      </c>
      <c r="AB71" s="162" t="str">
        <f ca="1" t="shared" si="11"/>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9"/>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0"/>
        <v>0</v>
      </c>
      <c r="AB72" s="162" t="str">
        <f ca="1" t="shared" si="11"/>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9"/>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0"/>
        <v>0</v>
      </c>
      <c r="AB73" s="162" t="str">
        <f ca="1" t="shared" si="11"/>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9"/>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0"/>
        <v>0</v>
      </c>
      <c r="AB74" s="162" t="str">
        <f ca="1" t="shared" si="11"/>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9"/>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0"/>
        <v>0</v>
      </c>
      <c r="AB75" s="162" t="str">
        <f ca="1" t="shared" si="11"/>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9"/>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0"/>
        <v>0</v>
      </c>
      <c r="AB76" s="162" t="str">
        <f ca="1" t="shared" si="11"/>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9"/>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0"/>
        <v>0</v>
      </c>
      <c r="AB77" s="162" t="str">
        <f ca="1" t="shared" si="11"/>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9"/>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0"/>
        <v>0</v>
      </c>
      <c r="AB78" s="162" t="str">
        <f ca="1" t="shared" si="11"/>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9"/>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0"/>
        <v>0</v>
      </c>
      <c r="AB79" s="162" t="str">
        <f ca="1" t="shared" si="11"/>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9"/>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0"/>
        <v>0</v>
      </c>
      <c r="AB80" s="162" t="str">
        <f ca="1" t="shared" si="11"/>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9"/>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0"/>
        <v>0</v>
      </c>
      <c r="AB81" s="162" t="str">
        <f ca="1" t="shared" si="11"/>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9"/>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0"/>
        <v>0</v>
      </c>
      <c r="AB82" s="162" t="str">
        <f ca="1" t="shared" si="11"/>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9"/>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0"/>
        <v>0</v>
      </c>
      <c r="AB83" s="162" t="str">
        <f ca="1" t="shared" si="11"/>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9"/>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0"/>
        <v>0</v>
      </c>
      <c r="AB84" s="162" t="str">
        <f ca="1" t="shared" si="11"/>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9"/>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0"/>
        <v>0</v>
      </c>
      <c r="AB85" s="162" t="str">
        <f ca="1" t="shared" si="11"/>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9"/>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0"/>
        <v>0</v>
      </c>
      <c r="AB86" s="162" t="str">
        <f ca="1" t="shared" si="11"/>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9"/>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0"/>
        <v>0</v>
      </c>
      <c r="AB87" s="162" t="str">
        <f ca="1" t="shared" si="11"/>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9"/>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0"/>
        <v>0</v>
      </c>
      <c r="AB88" s="162" t="str">
        <f ca="1" t="shared" si="11"/>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9"/>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0"/>
        <v>0</v>
      </c>
      <c r="AB89" s="162" t="str">
        <f ca="1" t="shared" si="11"/>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ref="S90" si="12">IF(B90="","",IF(ISERROR(MATCH($E90,CL,0)),"Unknown",INDIRECT("'C'!$A$"&amp;MATCH($E90,CL,0)+1)))</f>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ref="X90" si="13">IF(AND(C90="Smelter not listed",OR(LEN(D90)=0,LEN(E90)=0)),1,0)</f>
        <v>0</v>
      </c>
      <c r="AB90" s="162" t="str">
        <f ca="1" t="shared" ref="AB90" si="14">B90&amp;C90</f>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ref="S91:S122" si="15">IF(B91="","",IF(ISERROR(MATCH($E91,CL,0)),"Unknown",INDIRECT("'C'!$A$"&amp;MATCH($E91,CL,0)+1)))</f>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ref="X91:X122" si="16">IF(AND(C91="Smelter not listed",OR(LEN(D91)=0,LEN(E91)=0)),1,0)</f>
        <v>0</v>
      </c>
      <c r="AB91" s="162" t="str">
        <f ca="1" t="shared" ref="AB91:AB122" si="17">B91&amp;C91</f>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5"/>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6"/>
        <v>0</v>
      </c>
      <c r="AB92" s="162" t="str">
        <f ca="1" t="shared" si="17"/>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5"/>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6"/>
        <v>0</v>
      </c>
      <c r="AB93" s="162" t="str">
        <f ca="1" t="shared" si="17"/>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5"/>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6"/>
        <v>0</v>
      </c>
      <c r="AB94" s="162" t="str">
        <f ca="1" t="shared" si="17"/>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5"/>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6"/>
        <v>0</v>
      </c>
      <c r="AB95" s="162" t="str">
        <f ca="1" t="shared" si="17"/>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5"/>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6"/>
        <v>0</v>
      </c>
      <c r="AB96" s="162" t="str">
        <f ca="1" t="shared" si="17"/>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5"/>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6"/>
        <v>0</v>
      </c>
      <c r="AB97" s="162" t="str">
        <f ca="1" t="shared" si="17"/>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5"/>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6"/>
        <v>0</v>
      </c>
      <c r="AB98" s="162" t="str">
        <f ca="1" t="shared" si="17"/>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5"/>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6"/>
        <v>0</v>
      </c>
      <c r="AB99" s="162" t="str">
        <f ca="1" t="shared" si="17"/>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5"/>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6"/>
        <v>0</v>
      </c>
      <c r="AB100" s="162" t="str">
        <f ca="1" t="shared" si="17"/>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5"/>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6"/>
        <v>0</v>
      </c>
      <c r="AB101" s="162" t="str">
        <f ca="1" t="shared" si="17"/>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5"/>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6"/>
        <v>0</v>
      </c>
      <c r="AB102" s="162" t="str">
        <f ca="1" t="shared" si="17"/>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5"/>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6"/>
        <v>0</v>
      </c>
      <c r="AB103" s="162" t="str">
        <f ca="1" t="shared" si="17"/>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5"/>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6"/>
        <v>0</v>
      </c>
      <c r="AB104" s="162" t="str">
        <f ca="1" t="shared" si="17"/>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5"/>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6"/>
        <v>0</v>
      </c>
      <c r="AB105" s="162" t="str">
        <f ca="1" t="shared" si="17"/>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5"/>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6"/>
        <v>0</v>
      </c>
      <c r="AB106" s="162" t="str">
        <f ca="1" t="shared" si="17"/>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5"/>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6"/>
        <v>0</v>
      </c>
      <c r="AB107" s="162" t="str">
        <f ca="1" t="shared" si="17"/>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5"/>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6"/>
        <v>0</v>
      </c>
      <c r="AB108" s="162" t="str">
        <f ca="1" t="shared" si="17"/>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5"/>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6"/>
        <v>0</v>
      </c>
      <c r="AB109" s="162" t="str">
        <f ca="1" t="shared" si="17"/>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5"/>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6"/>
        <v>0</v>
      </c>
      <c r="AB110" s="162" t="str">
        <f ca="1" t="shared" si="17"/>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5"/>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6"/>
        <v>0</v>
      </c>
      <c r="AB111" s="162" t="str">
        <f ca="1" t="shared" si="17"/>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5"/>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6"/>
        <v>0</v>
      </c>
      <c r="AB112" s="162" t="str">
        <f ca="1" t="shared" si="17"/>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5"/>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6"/>
        <v>0</v>
      </c>
      <c r="AB113" s="162" t="str">
        <f ca="1" t="shared" si="17"/>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5"/>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6"/>
        <v>0</v>
      </c>
      <c r="AB114" s="162" t="str">
        <f ca="1" t="shared" si="17"/>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5"/>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6"/>
        <v>0</v>
      </c>
      <c r="AB115" s="162" t="str">
        <f ca="1" t="shared" si="17"/>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5"/>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6"/>
        <v>0</v>
      </c>
      <c r="AB116" s="162" t="str">
        <f ca="1" t="shared" si="17"/>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5"/>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6"/>
        <v>0</v>
      </c>
      <c r="AB117" s="162" t="str">
        <f ca="1" t="shared" si="17"/>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5"/>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6"/>
        <v>0</v>
      </c>
      <c r="AB118" s="162" t="str">
        <f ca="1" t="shared" si="17"/>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5"/>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6"/>
        <v>0</v>
      </c>
      <c r="AB119" s="162" t="str">
        <f ca="1" t="shared" si="17"/>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5"/>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6"/>
        <v>0</v>
      </c>
      <c r="AB120" s="162" t="str">
        <f ca="1" t="shared" si="17"/>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5"/>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6"/>
        <v>0</v>
      </c>
      <c r="AB121" s="162" t="str">
        <f ca="1" t="shared" si="17"/>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5"/>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6"/>
        <v>0</v>
      </c>
      <c r="AB122" s="162" t="str">
        <f ca="1" t="shared" si="17"/>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ref="S123:S153" si="18">IF(B123="","",IF(ISERROR(MATCH($E123,CL,0)),"Unknown",INDIRECT("'C'!$A$"&amp;MATCH($E123,CL,0)+1)))</f>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ref="X123:X153" si="19">IF(AND(C123="Smelter not listed",OR(LEN(D123)=0,LEN(E123)=0)),1,0)</f>
        <v>0</v>
      </c>
      <c r="AB123" s="162" t="str">
        <f ca="1" t="shared" ref="AB123:AB153" si="20">B123&amp;C123</f>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8"/>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9"/>
        <v>0</v>
      </c>
      <c r="AB124" s="162" t="str">
        <f ca="1" t="shared" si="20"/>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8"/>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9"/>
        <v>0</v>
      </c>
      <c r="AB125" s="162" t="str">
        <f ca="1" t="shared" si="20"/>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8"/>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9"/>
        <v>0</v>
      </c>
      <c r="AB126" s="162" t="str">
        <f ca="1" t="shared" si="20"/>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8"/>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9"/>
        <v>0</v>
      </c>
      <c r="AB127" s="162" t="str">
        <f ca="1" t="shared" si="20"/>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8"/>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9"/>
        <v>0</v>
      </c>
      <c r="AB128" s="162" t="str">
        <f ca="1" t="shared" si="20"/>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8"/>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9"/>
        <v>0</v>
      </c>
      <c r="AB129" s="162" t="str">
        <f ca="1" t="shared" si="20"/>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8"/>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9"/>
        <v>0</v>
      </c>
      <c r="AB130" s="162" t="str">
        <f ca="1" t="shared" si="20"/>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8"/>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19"/>
        <v>0</v>
      </c>
      <c r="AB131" s="162" t="str">
        <f ca="1" t="shared" si="20"/>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8"/>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19"/>
        <v>0</v>
      </c>
      <c r="AB132" s="162" t="str">
        <f ca="1" t="shared" si="20"/>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8"/>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19"/>
        <v>0</v>
      </c>
      <c r="AB133" s="162" t="str">
        <f ca="1" t="shared" si="20"/>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8"/>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19"/>
        <v>0</v>
      </c>
      <c r="AB134" s="162" t="str">
        <f ca="1" t="shared" si="20"/>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8"/>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19"/>
        <v>0</v>
      </c>
      <c r="AB135" s="162" t="str">
        <f ca="1" t="shared" si="20"/>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8"/>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19"/>
        <v>0</v>
      </c>
      <c r="AB136" s="162" t="str">
        <f ca="1" t="shared" si="20"/>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8"/>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19"/>
        <v>0</v>
      </c>
      <c r="AB137" s="162" t="str">
        <f ca="1" t="shared" si="20"/>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8"/>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19"/>
        <v>0</v>
      </c>
      <c r="AB138" s="162" t="str">
        <f ca="1" t="shared" si="20"/>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8"/>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19"/>
        <v>0</v>
      </c>
      <c r="AB139" s="162" t="str">
        <f ca="1" t="shared" si="20"/>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8"/>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19"/>
        <v>0</v>
      </c>
      <c r="AB140" s="162" t="str">
        <f ca="1" t="shared" si="20"/>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8"/>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19"/>
        <v>0</v>
      </c>
      <c r="AB141" s="162" t="str">
        <f ca="1" t="shared" si="20"/>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8"/>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19"/>
        <v>0</v>
      </c>
      <c r="AB142" s="162" t="str">
        <f ca="1" t="shared" si="20"/>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8"/>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19"/>
        <v>0</v>
      </c>
      <c r="AB143" s="162" t="str">
        <f ca="1" t="shared" si="20"/>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8"/>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19"/>
        <v>0</v>
      </c>
      <c r="AB144" s="162" t="str">
        <f ca="1" t="shared" si="20"/>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8"/>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19"/>
        <v>0</v>
      </c>
      <c r="AB145" s="162" t="str">
        <f ca="1" t="shared" si="20"/>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8"/>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19"/>
        <v>0</v>
      </c>
      <c r="AB146" s="162" t="str">
        <f ca="1" t="shared" si="20"/>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8"/>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19"/>
        <v>0</v>
      </c>
      <c r="AB147" s="162" t="str">
        <f ca="1" t="shared" si="20"/>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8"/>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19"/>
        <v>0</v>
      </c>
      <c r="AB148" s="162" t="str">
        <f ca="1" t="shared" si="20"/>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8"/>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19"/>
        <v>0</v>
      </c>
      <c r="AB149" s="162" t="str">
        <f ca="1" t="shared" si="20"/>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8"/>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19"/>
        <v>0</v>
      </c>
      <c r="AB150" s="162" t="str">
        <f ca="1" t="shared" si="20"/>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8"/>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19"/>
        <v>0</v>
      </c>
      <c r="AB151" s="162" t="str">
        <f ca="1" t="shared" si="20"/>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8"/>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19"/>
        <v>0</v>
      </c>
      <c r="AB152" s="162" t="str">
        <f ca="1" t="shared" si="20"/>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8"/>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19"/>
        <v>0</v>
      </c>
      <c r="AB153" s="162" t="str">
        <f ca="1" t="shared" si="20"/>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ref="S154" si="21">IF(B154="","",IF(ISERROR(MATCH($E154,CL,0)),"Unknown",INDIRECT("'C'!$A$"&amp;MATCH($E154,CL,0)+1)))</f>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ref="X154" si="22">IF(AND(C154="Smelter not listed",OR(LEN(D154)=0,LEN(E154)=0)),1,0)</f>
        <v>0</v>
      </c>
      <c r="AB154" s="162" t="str">
        <f ca="1" t="shared" ref="AB154" si="23">B154&amp;C154</f>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ref="S155:S186" si="24">IF(B155="","",IF(ISERROR(MATCH($E155,CL,0)),"Unknown",INDIRECT("'C'!$A$"&amp;MATCH($E155,CL,0)+1)))</f>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ref="X155:X186" si="25">IF(AND(C155="Smelter not listed",OR(LEN(D155)=0,LEN(E155)=0)),1,0)</f>
        <v>0</v>
      </c>
      <c r="AB155" s="162" t="str">
        <f ca="1" t="shared" ref="AB155:AB186" si="26">B155&amp;C155</f>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4"/>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5"/>
        <v>0</v>
      </c>
      <c r="AB156" s="162" t="str">
        <f ca="1" t="shared" si="26"/>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4"/>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5"/>
        <v>0</v>
      </c>
      <c r="AB157" s="162" t="str">
        <f ca="1" t="shared" si="26"/>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4"/>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5"/>
        <v>0</v>
      </c>
      <c r="AB158" s="162" t="str">
        <f ca="1" t="shared" si="26"/>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4"/>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5"/>
        <v>0</v>
      </c>
      <c r="AB159" s="162" t="str">
        <f ca="1" t="shared" si="26"/>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4"/>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5"/>
        <v>0</v>
      </c>
      <c r="AB160" s="162" t="str">
        <f ca="1" t="shared" si="26"/>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4"/>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5"/>
        <v>0</v>
      </c>
      <c r="AB161" s="162" t="str">
        <f ca="1" t="shared" si="26"/>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4"/>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5"/>
        <v>0</v>
      </c>
      <c r="AB162" s="162" t="str">
        <f ca="1" t="shared" si="26"/>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4"/>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5"/>
        <v>0</v>
      </c>
      <c r="AB163" s="162" t="str">
        <f ca="1" t="shared" si="26"/>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4"/>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5"/>
        <v>0</v>
      </c>
      <c r="AB164" s="162" t="str">
        <f ca="1" t="shared" si="26"/>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4"/>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5"/>
        <v>0</v>
      </c>
      <c r="AB165" s="162" t="str">
        <f ca="1" t="shared" si="26"/>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4"/>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5"/>
        <v>0</v>
      </c>
      <c r="AB166" s="162" t="str">
        <f ca="1" t="shared" si="26"/>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4"/>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5"/>
        <v>0</v>
      </c>
      <c r="AB167" s="162" t="str">
        <f ca="1" t="shared" si="26"/>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4"/>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5"/>
        <v>0</v>
      </c>
      <c r="AB168" s="162" t="str">
        <f ca="1" t="shared" si="26"/>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4"/>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5"/>
        <v>0</v>
      </c>
      <c r="AB169" s="162" t="str">
        <f ca="1" t="shared" si="26"/>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4"/>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5"/>
        <v>0</v>
      </c>
      <c r="AB170" s="162" t="str">
        <f ca="1" t="shared" si="26"/>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4"/>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5"/>
        <v>0</v>
      </c>
      <c r="AB171" s="162" t="str">
        <f ca="1" t="shared" si="26"/>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4"/>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5"/>
        <v>0</v>
      </c>
      <c r="AB172" s="162" t="str">
        <f ca="1" t="shared" si="26"/>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4"/>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5"/>
        <v>0</v>
      </c>
      <c r="AB173" s="162" t="str">
        <f ca="1" t="shared" si="26"/>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4"/>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5"/>
        <v>0</v>
      </c>
      <c r="AB174" s="162" t="str">
        <f ca="1" t="shared" si="26"/>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4"/>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5"/>
        <v>0</v>
      </c>
      <c r="AB175" s="162" t="str">
        <f ca="1" t="shared" si="26"/>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4"/>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5"/>
        <v>0</v>
      </c>
      <c r="AB176" s="162" t="str">
        <f ca="1" t="shared" si="26"/>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4"/>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5"/>
        <v>0</v>
      </c>
      <c r="AB177" s="162" t="str">
        <f ca="1" t="shared" si="26"/>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4"/>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5"/>
        <v>0</v>
      </c>
      <c r="AB178" s="162" t="str">
        <f ca="1" t="shared" si="26"/>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4"/>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5"/>
        <v>0</v>
      </c>
      <c r="AB179" s="162" t="str">
        <f ca="1" t="shared" si="26"/>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4"/>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5"/>
        <v>0</v>
      </c>
      <c r="AB180" s="162" t="str">
        <f ca="1" t="shared" si="26"/>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4"/>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5"/>
        <v>0</v>
      </c>
      <c r="AB181" s="162" t="str">
        <f ca="1" t="shared" si="26"/>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4"/>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5"/>
        <v>0</v>
      </c>
      <c r="AB182" s="162" t="str">
        <f ca="1" t="shared" si="26"/>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4"/>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5"/>
        <v>0</v>
      </c>
      <c r="AB183" s="162" t="str">
        <f ca="1" t="shared" si="26"/>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4"/>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5"/>
        <v>0</v>
      </c>
      <c r="AB184" s="162" t="str">
        <f ca="1" t="shared" si="26"/>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4"/>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5"/>
        <v>0</v>
      </c>
      <c r="AB185" s="162" t="str">
        <f ca="1" t="shared" si="26"/>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4"/>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5"/>
        <v>0</v>
      </c>
      <c r="AB186" s="162" t="str">
        <f ca="1" t="shared" si="26"/>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ref="S187:S217" si="27">IF(B187="","",IF(ISERROR(MATCH($E187,CL,0)),"Unknown",INDIRECT("'C'!$A$"&amp;MATCH($E187,CL,0)+1)))</f>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ref="X187:X217" si="28">IF(AND(C187="Smelter not listed",OR(LEN(D187)=0,LEN(E187)=0)),1,0)</f>
        <v>0</v>
      </c>
      <c r="AB187" s="162" t="str">
        <f ca="1" t="shared" ref="AB187:AB217" si="29">B187&amp;C187</f>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7"/>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8"/>
        <v>0</v>
      </c>
      <c r="AB188" s="162" t="str">
        <f ca="1" t="shared" si="29"/>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7"/>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8"/>
        <v>0</v>
      </c>
      <c r="AB189" s="162" t="str">
        <f ca="1" t="shared" si="29"/>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7"/>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8"/>
        <v>0</v>
      </c>
      <c r="AB190" s="162" t="str">
        <f ca="1" t="shared" si="29"/>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7"/>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8"/>
        <v>0</v>
      </c>
      <c r="AB191" s="162" t="str">
        <f ca="1" t="shared" si="29"/>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7"/>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8"/>
        <v>0</v>
      </c>
      <c r="AB192" s="162" t="str">
        <f ca="1" t="shared" si="29"/>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7"/>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8"/>
        <v>0</v>
      </c>
      <c r="AB193" s="162" t="str">
        <f ca="1" t="shared" si="29"/>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7"/>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8"/>
        <v>0</v>
      </c>
      <c r="AB194" s="162" t="str">
        <f ca="1" t="shared" si="29"/>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7"/>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8"/>
        <v>0</v>
      </c>
      <c r="AB195" s="162" t="str">
        <f ca="1" t="shared" si="29"/>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7"/>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8"/>
        <v>0</v>
      </c>
      <c r="AB196" s="162" t="str">
        <f ca="1" t="shared" si="29"/>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7"/>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8"/>
        <v>0</v>
      </c>
      <c r="AB197" s="162" t="str">
        <f ca="1" t="shared" si="29"/>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7"/>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8"/>
        <v>0</v>
      </c>
      <c r="AB198" s="162" t="str">
        <f ca="1" t="shared" si="29"/>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7"/>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8"/>
        <v>0</v>
      </c>
      <c r="AB199" s="162" t="str">
        <f ca="1" t="shared" si="29"/>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7"/>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8"/>
        <v>0</v>
      </c>
      <c r="AB200" s="162" t="str">
        <f ca="1" t="shared" si="29"/>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7"/>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8"/>
        <v>0</v>
      </c>
      <c r="AB201" s="162" t="str">
        <f ca="1" t="shared" si="29"/>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7"/>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8"/>
        <v>0</v>
      </c>
      <c r="AB202" s="162" t="str">
        <f ca="1" t="shared" si="29"/>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7"/>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8"/>
        <v>0</v>
      </c>
      <c r="AB203" s="162" t="str">
        <f ca="1" t="shared" si="29"/>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7"/>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8"/>
        <v>0</v>
      </c>
      <c r="AB204" s="162" t="str">
        <f ca="1" t="shared" si="29"/>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7"/>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8"/>
        <v>0</v>
      </c>
      <c r="AB205" s="162" t="str">
        <f ca="1" t="shared" si="29"/>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7"/>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8"/>
        <v>0</v>
      </c>
      <c r="AB206" s="162" t="str">
        <f ca="1" t="shared" si="29"/>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7"/>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8"/>
        <v>0</v>
      </c>
      <c r="AB207" s="162" t="str">
        <f ca="1" t="shared" si="29"/>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7"/>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8"/>
        <v>0</v>
      </c>
      <c r="AB208" s="162" t="str">
        <f ca="1" t="shared" si="29"/>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7"/>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8"/>
        <v>0</v>
      </c>
      <c r="AB209" s="162" t="str">
        <f ca="1" t="shared" si="29"/>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7"/>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8"/>
        <v>0</v>
      </c>
      <c r="AB210" s="162" t="str">
        <f ca="1" t="shared" si="29"/>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7"/>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8"/>
        <v>0</v>
      </c>
      <c r="AB211" s="162" t="str">
        <f ca="1" t="shared" si="29"/>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7"/>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8"/>
        <v>0</v>
      </c>
      <c r="AB212" s="162" t="str">
        <f ca="1" t="shared" si="29"/>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7"/>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8"/>
        <v>0</v>
      </c>
      <c r="AB213" s="162" t="str">
        <f ca="1" t="shared" si="29"/>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7"/>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8"/>
        <v>0</v>
      </c>
      <c r="AB214" s="162" t="str">
        <f ca="1" t="shared" si="29"/>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7"/>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8"/>
        <v>0</v>
      </c>
      <c r="AB215" s="162" t="str">
        <f ca="1" t="shared" si="29"/>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7"/>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8"/>
        <v>0</v>
      </c>
      <c r="AB216" s="162" t="str">
        <f ca="1" t="shared" si="29"/>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7"/>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8"/>
        <v>0</v>
      </c>
      <c r="AB217" s="162" t="str">
        <f ca="1" t="shared" si="29"/>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ref="S218" si="30">IF(B218="","",IF(ISERROR(MATCH($E218,CL,0)),"Unknown",INDIRECT("'C'!$A$"&amp;MATCH($E218,CL,0)+1)))</f>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ref="X218" si="31">IF(AND(C218="Smelter not listed",OR(LEN(D218)=0,LEN(E218)=0)),1,0)</f>
        <v>0</v>
      </c>
      <c r="AB218" s="162" t="str">
        <f ca="1" t="shared" ref="AB218" si="32">B218&amp;C218</f>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ref="S219:S250" si="33">IF(B219="","",IF(ISERROR(MATCH($E219,CL,0)),"Unknown",INDIRECT("'C'!$A$"&amp;MATCH($E219,CL,0)+1)))</f>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ref="X219:X250" si="34">IF(AND(C219="Smelter not listed",OR(LEN(D219)=0,LEN(E219)=0)),1,0)</f>
        <v>0</v>
      </c>
      <c r="AB219" s="162" t="str">
        <f ca="1" t="shared" ref="AB219:AB250" si="35">B219&amp;C219</f>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3"/>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4"/>
        <v>0</v>
      </c>
      <c r="AB220" s="162" t="str">
        <f ca="1" t="shared" si="35"/>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3"/>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4"/>
        <v>0</v>
      </c>
      <c r="AB221" s="162" t="str">
        <f ca="1" t="shared" si="35"/>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3"/>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4"/>
        <v>0</v>
      </c>
      <c r="AB222" s="162" t="str">
        <f ca="1" t="shared" si="35"/>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3"/>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4"/>
        <v>0</v>
      </c>
      <c r="AB223" s="162" t="str">
        <f ca="1" t="shared" si="35"/>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3"/>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4"/>
        <v>0</v>
      </c>
      <c r="AB224" s="162" t="str">
        <f ca="1" t="shared" si="35"/>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3"/>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4"/>
        <v>0</v>
      </c>
      <c r="AB225" s="162" t="str">
        <f ca="1" t="shared" si="35"/>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3"/>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4"/>
        <v>0</v>
      </c>
      <c r="AB226" s="162" t="str">
        <f ca="1" t="shared" si="35"/>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3"/>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4"/>
        <v>0</v>
      </c>
      <c r="AB227" s="162" t="str">
        <f ca="1" t="shared" si="35"/>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3"/>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4"/>
        <v>0</v>
      </c>
      <c r="AB228" s="162" t="str">
        <f ca="1" t="shared" si="35"/>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3"/>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4"/>
        <v>0</v>
      </c>
      <c r="AB229" s="162" t="str">
        <f ca="1" t="shared" si="35"/>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3"/>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4"/>
        <v>0</v>
      </c>
      <c r="AB230" s="162" t="str">
        <f ca="1" t="shared" si="35"/>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3"/>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4"/>
        <v>0</v>
      </c>
      <c r="AB231" s="162" t="str">
        <f ca="1" t="shared" si="35"/>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3"/>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4"/>
        <v>0</v>
      </c>
      <c r="AB232" s="162" t="str">
        <f ca="1" t="shared" si="35"/>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3"/>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4"/>
        <v>0</v>
      </c>
      <c r="AB233" s="162" t="str">
        <f ca="1" t="shared" si="35"/>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3"/>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4"/>
        <v>0</v>
      </c>
      <c r="AB234" s="162" t="str">
        <f ca="1" t="shared" si="35"/>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3"/>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4"/>
        <v>0</v>
      </c>
      <c r="AB235" s="162" t="str">
        <f ca="1" t="shared" si="35"/>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3"/>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4"/>
        <v>0</v>
      </c>
      <c r="AB236" s="162" t="str">
        <f ca="1" t="shared" si="35"/>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3"/>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4"/>
        <v>0</v>
      </c>
      <c r="AB237" s="162" t="str">
        <f ca="1" t="shared" si="35"/>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3"/>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4"/>
        <v>0</v>
      </c>
      <c r="AB238" s="162" t="str">
        <f ca="1" t="shared" si="35"/>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3"/>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4"/>
        <v>0</v>
      </c>
      <c r="AB239" s="162" t="str">
        <f ca="1" t="shared" si="35"/>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3"/>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4"/>
        <v>0</v>
      </c>
      <c r="AB240" s="162" t="str">
        <f ca="1" t="shared" si="35"/>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3"/>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4"/>
        <v>0</v>
      </c>
      <c r="AB241" s="162" t="str">
        <f ca="1" t="shared" si="35"/>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3"/>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4"/>
        <v>0</v>
      </c>
      <c r="AB242" s="162" t="str">
        <f ca="1" t="shared" si="35"/>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3"/>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4"/>
        <v>0</v>
      </c>
      <c r="AB243" s="162" t="str">
        <f ca="1" t="shared" si="35"/>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3"/>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4"/>
        <v>0</v>
      </c>
      <c r="AB244" s="162" t="str">
        <f ca="1" t="shared" si="35"/>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3"/>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4"/>
        <v>0</v>
      </c>
      <c r="AB245" s="162" t="str">
        <f ca="1" t="shared" si="35"/>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3"/>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4"/>
        <v>0</v>
      </c>
      <c r="AB246" s="162" t="str">
        <f ca="1" t="shared" si="35"/>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3"/>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4"/>
        <v>0</v>
      </c>
      <c r="AB247" s="162" t="str">
        <f ca="1" t="shared" si="35"/>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3"/>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4"/>
        <v>0</v>
      </c>
      <c r="AB248" s="162" t="str">
        <f ca="1" t="shared" si="35"/>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3"/>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4"/>
        <v>0</v>
      </c>
      <c r="AB249" s="162" t="str">
        <f ca="1" t="shared" si="35"/>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3"/>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4"/>
        <v>0</v>
      </c>
      <c r="AB250" s="162" t="str">
        <f ca="1" t="shared" si="35"/>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ref="S251:S281" si="36">IF(B251="","",IF(ISERROR(MATCH($E251,CL,0)),"Unknown",INDIRECT("'C'!$A$"&amp;MATCH($E251,CL,0)+1)))</f>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ref="X251:X281" si="37">IF(AND(C251="Smelter not listed",OR(LEN(D251)=0,LEN(E251)=0)),1,0)</f>
        <v>0</v>
      </c>
      <c r="AB251" s="162" t="str">
        <f ca="1" t="shared" ref="AB251:AB281" si="38">B251&amp;C251</f>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6"/>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7"/>
        <v>0</v>
      </c>
      <c r="AB252" s="162" t="str">
        <f ca="1" t="shared" si="38"/>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6"/>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7"/>
        <v>0</v>
      </c>
      <c r="AB253" s="162" t="str">
        <f ca="1" t="shared" si="38"/>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6"/>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7"/>
        <v>0</v>
      </c>
      <c r="AB254" s="162" t="str">
        <f ca="1" t="shared" si="38"/>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6"/>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7"/>
        <v>0</v>
      </c>
      <c r="AB255" s="162" t="str">
        <f ca="1" t="shared" si="38"/>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6"/>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7"/>
        <v>0</v>
      </c>
      <c r="AB256" s="162" t="str">
        <f ca="1" t="shared" si="38"/>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6"/>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7"/>
        <v>0</v>
      </c>
      <c r="AB257" s="162" t="str">
        <f ca="1" t="shared" si="38"/>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6"/>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7"/>
        <v>0</v>
      </c>
      <c r="AB258" s="162" t="str">
        <f ca="1" t="shared" si="38"/>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6"/>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7"/>
        <v>0</v>
      </c>
      <c r="AB259" s="162" t="str">
        <f ca="1" t="shared" si="38"/>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6"/>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7"/>
        <v>0</v>
      </c>
      <c r="AB260" s="162" t="str">
        <f ca="1" t="shared" si="38"/>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6"/>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7"/>
        <v>0</v>
      </c>
      <c r="AB261" s="162" t="str">
        <f ca="1" t="shared" si="38"/>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6"/>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7"/>
        <v>0</v>
      </c>
      <c r="AB262" s="162" t="str">
        <f ca="1" t="shared" si="38"/>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6"/>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7"/>
        <v>0</v>
      </c>
      <c r="AB263" s="162" t="str">
        <f ca="1" t="shared" si="38"/>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6"/>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7"/>
        <v>0</v>
      </c>
      <c r="AB264" s="162" t="str">
        <f ca="1" t="shared" si="38"/>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6"/>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7"/>
        <v>0</v>
      </c>
      <c r="AB265" s="162" t="str">
        <f ca="1" t="shared" si="38"/>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6"/>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7"/>
        <v>0</v>
      </c>
      <c r="AB266" s="162" t="str">
        <f ca="1" t="shared" si="38"/>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6"/>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7"/>
        <v>0</v>
      </c>
      <c r="AB267" s="162" t="str">
        <f ca="1" t="shared" si="38"/>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6"/>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7"/>
        <v>0</v>
      </c>
      <c r="AB268" s="162" t="str">
        <f ca="1" t="shared" si="38"/>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6"/>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7"/>
        <v>0</v>
      </c>
      <c r="AB269" s="162" t="str">
        <f ca="1" t="shared" si="38"/>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6"/>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7"/>
        <v>0</v>
      </c>
      <c r="AB270" s="162" t="str">
        <f ca="1" t="shared" si="38"/>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6"/>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7"/>
        <v>0</v>
      </c>
      <c r="AB271" s="162" t="str">
        <f ca="1" t="shared" si="38"/>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6"/>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7"/>
        <v>0</v>
      </c>
      <c r="AB272" s="162" t="str">
        <f ca="1" t="shared" si="38"/>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6"/>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7"/>
        <v>0</v>
      </c>
      <c r="AB273" s="162" t="str">
        <f ca="1" t="shared" si="38"/>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6"/>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7"/>
        <v>0</v>
      </c>
      <c r="AB274" s="162" t="str">
        <f ca="1" t="shared" si="38"/>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6"/>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7"/>
        <v>0</v>
      </c>
      <c r="AB275" s="162" t="str">
        <f ca="1" t="shared" si="38"/>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6"/>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7"/>
        <v>0</v>
      </c>
      <c r="AB276" s="162" t="str">
        <f ca="1" t="shared" si="38"/>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6"/>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7"/>
        <v>0</v>
      </c>
      <c r="AB277" s="162" t="str">
        <f ca="1" t="shared" si="38"/>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6"/>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7"/>
        <v>0</v>
      </c>
      <c r="AB278" s="162" t="str">
        <f ca="1" t="shared" si="38"/>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6"/>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7"/>
        <v>0</v>
      </c>
      <c r="AB279" s="162" t="str">
        <f ca="1" t="shared" si="38"/>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6"/>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7"/>
        <v>0</v>
      </c>
      <c r="AB280" s="162" t="str">
        <f ca="1" t="shared" si="38"/>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6"/>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7"/>
        <v>0</v>
      </c>
      <c r="AB281" s="162" t="str">
        <f ca="1" t="shared" si="38"/>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ref="S282" si="39">IF(B282="","",IF(ISERROR(MATCH($E282,CL,0)),"Unknown",INDIRECT("'C'!$A$"&amp;MATCH($E282,CL,0)+1)))</f>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ref="X282" si="40">IF(AND(C282="Smelter not listed",OR(LEN(D282)=0,LEN(E282)=0)),1,0)</f>
        <v>0</v>
      </c>
      <c r="AB282" s="162" t="str">
        <f ca="1" t="shared" ref="AB282" si="41">B282&amp;C282</f>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ref="S283:S314" si="42">IF(B283="","",IF(ISERROR(MATCH($E283,CL,0)),"Unknown",INDIRECT("'C'!$A$"&amp;MATCH($E283,CL,0)+1)))</f>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ref="X283:X314" si="43">IF(AND(C283="Smelter not listed",OR(LEN(D283)=0,LEN(E283)=0)),1,0)</f>
        <v>0</v>
      </c>
      <c r="AB283" s="162" t="str">
        <f ca="1" t="shared" ref="AB283:AB314" si="44">B283&amp;C283</f>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2"/>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3"/>
        <v>0</v>
      </c>
      <c r="AB284" s="162" t="str">
        <f ca="1" t="shared" si="44"/>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2"/>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3"/>
        <v>0</v>
      </c>
      <c r="AB285" s="162" t="str">
        <f ca="1" t="shared" si="44"/>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2"/>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3"/>
        <v>0</v>
      </c>
      <c r="AB286" s="162" t="str">
        <f ca="1" t="shared" si="44"/>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2"/>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3"/>
        <v>0</v>
      </c>
      <c r="AB287" s="162" t="str">
        <f ca="1" t="shared" si="44"/>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2"/>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3"/>
        <v>0</v>
      </c>
      <c r="AB288" s="162" t="str">
        <f ca="1" t="shared" si="44"/>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2"/>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3"/>
        <v>0</v>
      </c>
      <c r="AB289" s="162" t="str">
        <f ca="1" t="shared" si="44"/>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2"/>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3"/>
        <v>0</v>
      </c>
      <c r="AB290" s="162" t="str">
        <f ca="1" t="shared" si="44"/>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2"/>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3"/>
        <v>0</v>
      </c>
      <c r="AB291" s="162" t="str">
        <f ca="1" t="shared" si="44"/>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2"/>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3"/>
        <v>0</v>
      </c>
      <c r="AB292" s="162" t="str">
        <f ca="1" t="shared" si="44"/>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2"/>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3"/>
        <v>0</v>
      </c>
      <c r="AB293" s="162" t="str">
        <f ca="1" t="shared" si="44"/>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2"/>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3"/>
        <v>0</v>
      </c>
      <c r="AB294" s="162" t="str">
        <f ca="1" t="shared" si="44"/>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2"/>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3"/>
        <v>0</v>
      </c>
      <c r="AB295" s="162" t="str">
        <f ca="1" t="shared" si="44"/>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2"/>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3"/>
        <v>0</v>
      </c>
      <c r="AB296" s="162" t="str">
        <f ca="1" t="shared" si="44"/>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2"/>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3"/>
        <v>0</v>
      </c>
      <c r="AB297" s="162" t="str">
        <f ca="1" t="shared" si="44"/>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2"/>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3"/>
        <v>0</v>
      </c>
      <c r="AB298" s="162" t="str">
        <f ca="1" t="shared" si="44"/>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2"/>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3"/>
        <v>0</v>
      </c>
      <c r="AB299" s="162" t="str">
        <f ca="1" t="shared" si="44"/>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2"/>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3"/>
        <v>0</v>
      </c>
      <c r="AB300" s="162" t="str">
        <f ca="1" t="shared" si="44"/>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2"/>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3"/>
        <v>0</v>
      </c>
      <c r="AB301" s="162" t="str">
        <f ca="1" t="shared" si="44"/>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2"/>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3"/>
        <v>0</v>
      </c>
      <c r="AB302" s="162" t="str">
        <f ca="1" t="shared" si="44"/>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2"/>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3"/>
        <v>0</v>
      </c>
      <c r="AB303" s="162" t="str">
        <f ca="1" t="shared" si="44"/>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2"/>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3"/>
        <v>0</v>
      </c>
      <c r="AB304" s="162" t="str">
        <f ca="1" t="shared" si="44"/>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2"/>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3"/>
        <v>0</v>
      </c>
      <c r="AB305" s="162" t="str">
        <f ca="1" t="shared" si="44"/>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2"/>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3"/>
        <v>0</v>
      </c>
      <c r="AB306" s="162" t="str">
        <f ca="1" t="shared" si="44"/>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2"/>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3"/>
        <v>0</v>
      </c>
      <c r="AB307" s="162" t="str">
        <f ca="1" t="shared" si="44"/>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2"/>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3"/>
        <v>0</v>
      </c>
      <c r="AB308" s="162" t="str">
        <f ca="1" t="shared" si="44"/>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2"/>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3"/>
        <v>0</v>
      </c>
      <c r="AB309" s="162" t="str">
        <f ca="1" t="shared" si="44"/>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2"/>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3"/>
        <v>0</v>
      </c>
      <c r="AB310" s="162" t="str">
        <f ca="1" t="shared" si="44"/>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2"/>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3"/>
        <v>0</v>
      </c>
      <c r="AB311" s="162" t="str">
        <f ca="1" t="shared" si="44"/>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2"/>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3"/>
        <v>0</v>
      </c>
      <c r="AB312" s="162" t="str">
        <f ca="1" t="shared" si="44"/>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2"/>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3"/>
        <v>0</v>
      </c>
      <c r="AB313" s="162" t="str">
        <f ca="1" t="shared" si="44"/>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2"/>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3"/>
        <v>0</v>
      </c>
      <c r="AB314" s="162" t="str">
        <f ca="1" t="shared" si="44"/>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ref="S315:S345" si="45">IF(B315="","",IF(ISERROR(MATCH($E315,CL,0)),"Unknown",INDIRECT("'C'!$A$"&amp;MATCH($E315,CL,0)+1)))</f>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ref="X315:X345" si="46">IF(AND(C315="Smelter not listed",OR(LEN(D315)=0,LEN(E315)=0)),1,0)</f>
        <v>0</v>
      </c>
      <c r="AB315" s="162" t="str">
        <f ca="1" t="shared" ref="AB315:AB345" si="47">B315&amp;C315</f>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5"/>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6"/>
        <v>0</v>
      </c>
      <c r="AB316" s="162" t="str">
        <f ca="1" t="shared" si="47"/>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5"/>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6"/>
        <v>0</v>
      </c>
      <c r="AB317" s="162" t="str">
        <f ca="1" t="shared" si="47"/>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5"/>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6"/>
        <v>0</v>
      </c>
      <c r="AB318" s="162" t="str">
        <f ca="1" t="shared" si="47"/>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5"/>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6"/>
        <v>0</v>
      </c>
      <c r="AB319" s="162" t="str">
        <f ca="1" t="shared" si="47"/>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5"/>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6"/>
        <v>0</v>
      </c>
      <c r="AB320" s="162" t="str">
        <f ca="1" t="shared" si="47"/>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5"/>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6"/>
        <v>0</v>
      </c>
      <c r="AB321" s="162" t="str">
        <f ca="1" t="shared" si="47"/>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5"/>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6"/>
        <v>0</v>
      </c>
      <c r="AB322" s="162" t="str">
        <f ca="1" t="shared" si="47"/>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5"/>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6"/>
        <v>0</v>
      </c>
      <c r="AB323" s="162" t="str">
        <f ca="1" t="shared" si="47"/>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5"/>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6"/>
        <v>0</v>
      </c>
      <c r="AB324" s="162" t="str">
        <f ca="1" t="shared" si="47"/>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5"/>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6"/>
        <v>0</v>
      </c>
      <c r="AB325" s="162" t="str">
        <f ca="1" t="shared" si="47"/>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5"/>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6"/>
        <v>0</v>
      </c>
      <c r="AB326" s="162" t="str">
        <f ca="1" t="shared" si="47"/>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5"/>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6"/>
        <v>0</v>
      </c>
      <c r="AB327" s="162" t="str">
        <f ca="1" t="shared" si="47"/>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5"/>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6"/>
        <v>0</v>
      </c>
      <c r="AB328" s="162" t="str">
        <f ca="1" t="shared" si="47"/>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5"/>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6"/>
        <v>0</v>
      </c>
      <c r="AB329" s="162" t="str">
        <f ca="1" t="shared" si="47"/>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5"/>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6"/>
        <v>0</v>
      </c>
      <c r="AB330" s="162" t="str">
        <f ca="1" t="shared" si="47"/>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5"/>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6"/>
        <v>0</v>
      </c>
      <c r="AB331" s="162" t="str">
        <f ca="1" t="shared" si="47"/>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5"/>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6"/>
        <v>0</v>
      </c>
      <c r="AB332" s="162" t="str">
        <f ca="1" t="shared" si="47"/>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5"/>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6"/>
        <v>0</v>
      </c>
      <c r="AB333" s="162" t="str">
        <f ca="1" t="shared" si="47"/>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5"/>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6"/>
        <v>0</v>
      </c>
      <c r="AB334" s="162" t="str">
        <f ca="1" t="shared" si="47"/>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5"/>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6"/>
        <v>0</v>
      </c>
      <c r="AB335" s="162" t="str">
        <f ca="1" t="shared" si="47"/>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5"/>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6"/>
        <v>0</v>
      </c>
      <c r="AB336" s="162" t="str">
        <f ca="1" t="shared" si="47"/>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5"/>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6"/>
        <v>0</v>
      </c>
      <c r="AB337" s="162" t="str">
        <f ca="1" t="shared" si="47"/>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5"/>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6"/>
        <v>0</v>
      </c>
      <c r="AB338" s="162" t="str">
        <f ca="1" t="shared" si="47"/>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5"/>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6"/>
        <v>0</v>
      </c>
      <c r="AB339" s="162" t="str">
        <f ca="1" t="shared" si="47"/>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5"/>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6"/>
        <v>0</v>
      </c>
      <c r="AB340" s="162" t="str">
        <f ca="1" t="shared" si="47"/>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5"/>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6"/>
        <v>0</v>
      </c>
      <c r="AB341" s="162" t="str">
        <f ca="1" t="shared" si="47"/>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5"/>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6"/>
        <v>0</v>
      </c>
      <c r="AB342" s="162" t="str">
        <f ca="1" t="shared" si="47"/>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5"/>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6"/>
        <v>0</v>
      </c>
      <c r="AB343" s="162" t="str">
        <f ca="1" t="shared" si="47"/>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5"/>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6"/>
        <v>0</v>
      </c>
      <c r="AB344" s="162" t="str">
        <f ca="1" t="shared" si="47"/>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5"/>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6"/>
        <v>0</v>
      </c>
      <c r="AB345" s="162" t="str">
        <f ca="1" t="shared" si="47"/>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ref="S346" si="48">IF(B346="","",IF(ISERROR(MATCH($E346,CL,0)),"Unknown",INDIRECT("'C'!$A$"&amp;MATCH($E346,CL,0)+1)))</f>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ref="X346" si="49">IF(AND(C346="Smelter not listed",OR(LEN(D346)=0,LEN(E346)=0)),1,0)</f>
        <v>0</v>
      </c>
      <c r="AB346" s="162" t="str">
        <f ca="1" t="shared" ref="AB346" si="50">B346&amp;C346</f>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ref="S347:S378" si="51">IF(B347="","",IF(ISERROR(MATCH($E347,CL,0)),"Unknown",INDIRECT("'C'!$A$"&amp;MATCH($E347,CL,0)+1)))</f>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ref="X347:X378" si="52">IF(AND(C347="Smelter not listed",OR(LEN(D347)=0,LEN(E347)=0)),1,0)</f>
        <v>0</v>
      </c>
      <c r="AB347" s="162" t="str">
        <f ca="1" t="shared" ref="AB347:AB378" si="53">B347&amp;C347</f>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51"/>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2"/>
        <v>0</v>
      </c>
      <c r="AB348" s="162" t="str">
        <f ca="1" t="shared" si="53"/>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51"/>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2"/>
        <v>0</v>
      </c>
      <c r="AB349" s="162" t="str">
        <f ca="1" t="shared" si="53"/>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51"/>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2"/>
        <v>0</v>
      </c>
      <c r="AB350" s="162" t="str">
        <f ca="1" t="shared" si="53"/>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51"/>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2"/>
        <v>0</v>
      </c>
      <c r="AB351" s="162" t="str">
        <f ca="1" t="shared" si="53"/>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51"/>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2"/>
        <v>0</v>
      </c>
      <c r="AB352" s="162" t="str">
        <f ca="1" t="shared" si="53"/>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51"/>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2"/>
        <v>0</v>
      </c>
      <c r="AB353" s="162" t="str">
        <f ca="1" t="shared" si="53"/>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51"/>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2"/>
        <v>0</v>
      </c>
      <c r="AB354" s="162" t="str">
        <f ca="1" t="shared" si="53"/>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1"/>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2"/>
        <v>0</v>
      </c>
      <c r="AB355" s="162" t="str">
        <f ca="1" t="shared" si="53"/>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1"/>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2"/>
        <v>0</v>
      </c>
      <c r="AB356" s="162" t="str">
        <f ca="1" t="shared" si="53"/>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1"/>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2"/>
        <v>0</v>
      </c>
      <c r="AB357" s="162" t="str">
        <f ca="1" t="shared" si="53"/>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1"/>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2"/>
        <v>0</v>
      </c>
      <c r="AB358" s="162" t="str">
        <f ca="1" t="shared" si="53"/>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1"/>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2"/>
        <v>0</v>
      </c>
      <c r="AB359" s="162" t="str">
        <f ca="1" t="shared" si="53"/>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1"/>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2"/>
        <v>0</v>
      </c>
      <c r="AB360" s="162" t="str">
        <f ca="1" t="shared" si="53"/>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1"/>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2"/>
        <v>0</v>
      </c>
      <c r="AB361" s="162" t="str">
        <f ca="1" t="shared" si="53"/>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1"/>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2"/>
        <v>0</v>
      </c>
      <c r="AB362" s="162" t="str">
        <f ca="1" t="shared" si="53"/>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1"/>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2"/>
        <v>0</v>
      </c>
      <c r="AB363" s="162" t="str">
        <f ca="1" t="shared" si="53"/>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1"/>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2"/>
        <v>0</v>
      </c>
      <c r="AB364" s="162" t="str">
        <f ca="1" t="shared" si="53"/>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1"/>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2"/>
        <v>0</v>
      </c>
      <c r="AB365" s="162" t="str">
        <f ca="1" t="shared" si="53"/>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1"/>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2"/>
        <v>0</v>
      </c>
      <c r="AB366" s="162" t="str">
        <f ca="1" t="shared" si="53"/>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1"/>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2"/>
        <v>0</v>
      </c>
      <c r="AB367" s="162" t="str">
        <f ca="1" t="shared" si="53"/>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1"/>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2"/>
        <v>0</v>
      </c>
      <c r="AB368" s="162" t="str">
        <f ca="1" t="shared" si="53"/>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1"/>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2"/>
        <v>0</v>
      </c>
      <c r="AB369" s="162" t="str">
        <f ca="1" t="shared" si="53"/>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1"/>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2"/>
        <v>0</v>
      </c>
      <c r="AB370" s="162" t="str">
        <f ca="1" t="shared" si="53"/>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1"/>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2"/>
        <v>0</v>
      </c>
      <c r="AB371" s="162" t="str">
        <f ca="1" t="shared" si="53"/>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1"/>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2"/>
        <v>0</v>
      </c>
      <c r="AB372" s="162" t="str">
        <f ca="1" t="shared" si="53"/>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1"/>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2"/>
        <v>0</v>
      </c>
      <c r="AB373" s="162" t="str">
        <f ca="1" t="shared" si="53"/>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1"/>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2"/>
        <v>0</v>
      </c>
      <c r="AB374" s="162" t="str">
        <f ca="1" t="shared" si="53"/>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1"/>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2"/>
        <v>0</v>
      </c>
      <c r="AB375" s="162" t="str">
        <f ca="1" t="shared" si="53"/>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1"/>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2"/>
        <v>0</v>
      </c>
      <c r="AB376" s="162" t="str">
        <f ca="1" t="shared" si="53"/>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1"/>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2"/>
        <v>0</v>
      </c>
      <c r="AB377" s="162" t="str">
        <f ca="1" t="shared" si="53"/>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1"/>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2"/>
        <v>0</v>
      </c>
      <c r="AB378" s="162" t="str">
        <f ca="1" t="shared" si="53"/>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ref="S379:S409" si="54">IF(B379="","",IF(ISERROR(MATCH($E379,CL,0)),"Unknown",INDIRECT("'C'!$A$"&amp;MATCH($E379,CL,0)+1)))</f>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ref="X379:X409" si="55">IF(AND(C379="Smelter not listed",OR(LEN(D379)=0,LEN(E379)=0)),1,0)</f>
        <v>0</v>
      </c>
      <c r="AB379" s="162" t="str">
        <f ca="1" t="shared" ref="AB379:AB409" si="56">B379&amp;C379</f>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4"/>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5"/>
        <v>0</v>
      </c>
      <c r="AB380" s="162" t="str">
        <f ca="1" t="shared" si="56"/>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4"/>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5"/>
        <v>0</v>
      </c>
      <c r="AB381" s="162" t="str">
        <f ca="1" t="shared" si="56"/>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4"/>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5"/>
        <v>0</v>
      </c>
      <c r="AB382" s="162" t="str">
        <f ca="1" t="shared" si="56"/>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4"/>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5"/>
        <v>0</v>
      </c>
      <c r="AB383" s="162" t="str">
        <f ca="1" t="shared" si="56"/>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4"/>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5"/>
        <v>0</v>
      </c>
      <c r="AB384" s="162" t="str">
        <f ca="1" t="shared" si="56"/>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4"/>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5"/>
        <v>0</v>
      </c>
      <c r="AB385" s="162" t="str">
        <f ca="1" t="shared" si="56"/>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4"/>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5"/>
        <v>0</v>
      </c>
      <c r="AB386" s="162" t="str">
        <f ca="1" t="shared" si="56"/>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4"/>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5"/>
        <v>0</v>
      </c>
      <c r="AB387" s="162" t="str">
        <f ca="1" t="shared" si="56"/>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4"/>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5"/>
        <v>0</v>
      </c>
      <c r="AB388" s="162" t="str">
        <f ca="1" t="shared" si="56"/>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4"/>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5"/>
        <v>0</v>
      </c>
      <c r="AB389" s="162" t="str">
        <f ca="1" t="shared" si="56"/>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4"/>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5"/>
        <v>0</v>
      </c>
      <c r="AB390" s="162" t="str">
        <f ca="1" t="shared" si="56"/>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4"/>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5"/>
        <v>0</v>
      </c>
      <c r="AB391" s="162" t="str">
        <f ca="1" t="shared" si="56"/>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4"/>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5"/>
        <v>0</v>
      </c>
      <c r="AB392" s="162" t="str">
        <f ca="1" t="shared" si="56"/>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4"/>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5"/>
        <v>0</v>
      </c>
      <c r="AB393" s="162" t="str">
        <f ca="1" t="shared" si="56"/>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4"/>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5"/>
        <v>0</v>
      </c>
      <c r="AB394" s="162" t="str">
        <f ca="1" t="shared" si="56"/>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4"/>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5"/>
        <v>0</v>
      </c>
      <c r="AB395" s="162" t="str">
        <f ca="1" t="shared" si="56"/>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4"/>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5"/>
        <v>0</v>
      </c>
      <c r="AB396" s="162" t="str">
        <f ca="1" t="shared" si="56"/>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4"/>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5"/>
        <v>0</v>
      </c>
      <c r="AB397" s="162" t="str">
        <f ca="1" t="shared" si="56"/>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4"/>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5"/>
        <v>0</v>
      </c>
      <c r="AB398" s="162" t="str">
        <f ca="1" t="shared" si="56"/>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4"/>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5"/>
        <v>0</v>
      </c>
      <c r="AB399" s="162" t="str">
        <f ca="1" t="shared" si="56"/>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4"/>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5"/>
        <v>0</v>
      </c>
      <c r="AB400" s="162" t="str">
        <f ca="1" t="shared" si="56"/>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4"/>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5"/>
        <v>0</v>
      </c>
      <c r="AB401" s="162" t="str">
        <f ca="1" t="shared" si="56"/>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4"/>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5"/>
        <v>0</v>
      </c>
      <c r="AB402" s="162" t="str">
        <f ca="1" t="shared" si="56"/>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4"/>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5"/>
        <v>0</v>
      </c>
      <c r="AB403" s="162" t="str">
        <f ca="1" t="shared" si="56"/>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4"/>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5"/>
        <v>0</v>
      </c>
      <c r="AB404" s="162" t="str">
        <f ca="1" t="shared" si="56"/>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4"/>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5"/>
        <v>0</v>
      </c>
      <c r="AB405" s="162" t="str">
        <f ca="1" t="shared" si="56"/>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4"/>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5"/>
        <v>0</v>
      </c>
      <c r="AB406" s="162" t="str">
        <f ca="1" t="shared" si="56"/>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4"/>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5"/>
        <v>0</v>
      </c>
      <c r="AB407" s="162" t="str">
        <f ca="1" t="shared" si="56"/>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4"/>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5"/>
        <v>0</v>
      </c>
      <c r="AB408" s="162" t="str">
        <f ca="1" t="shared" si="56"/>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4"/>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5"/>
        <v>0</v>
      </c>
      <c r="AB409" s="162" t="str">
        <f ca="1" t="shared" si="56"/>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ref="S410" si="57">IF(B410="","",IF(ISERROR(MATCH($E410,CL,0)),"Unknown",INDIRECT("'C'!$A$"&amp;MATCH($E410,CL,0)+1)))</f>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ref="X410" si="58">IF(AND(C410="Smelter not listed",OR(LEN(D410)=0,LEN(E410)=0)),1,0)</f>
        <v>0</v>
      </c>
      <c r="AB410" s="162" t="str">
        <f ca="1" t="shared" ref="AB410" si="59">B410&amp;C410</f>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ref="S411:S442" si="60">IF(B411="","",IF(ISERROR(MATCH($E411,CL,0)),"Unknown",INDIRECT("'C'!$A$"&amp;MATCH($E411,CL,0)+1)))</f>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ref="X411:X442" si="61">IF(AND(C411="Smelter not listed",OR(LEN(D411)=0,LEN(E411)=0)),1,0)</f>
        <v>0</v>
      </c>
      <c r="AB411" s="162" t="str">
        <f ca="1" t="shared" ref="AB411:AB442" si="62">B411&amp;C411</f>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60"/>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61"/>
        <v>0</v>
      </c>
      <c r="AB412" s="162" t="str">
        <f ca="1" t="shared" si="62"/>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60"/>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61"/>
        <v>0</v>
      </c>
      <c r="AB413" s="162" t="str">
        <f ca="1" t="shared" si="62"/>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60"/>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61"/>
        <v>0</v>
      </c>
      <c r="AB414" s="162" t="str">
        <f ca="1" t="shared" si="62"/>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60"/>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61"/>
        <v>0</v>
      </c>
      <c r="AB415" s="162" t="str">
        <f ca="1" t="shared" si="62"/>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60"/>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61"/>
        <v>0</v>
      </c>
      <c r="AB416" s="162" t="str">
        <f ca="1" t="shared" si="62"/>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60"/>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61"/>
        <v>0</v>
      </c>
      <c r="AB417" s="162" t="str">
        <f ca="1" t="shared" si="62"/>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60"/>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61"/>
        <v>0</v>
      </c>
      <c r="AB418" s="162" t="str">
        <f ca="1" t="shared" si="62"/>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0"/>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1"/>
        <v>0</v>
      </c>
      <c r="AB419" s="162" t="str">
        <f ca="1" t="shared" si="62"/>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0"/>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1"/>
        <v>0</v>
      </c>
      <c r="AB420" s="162" t="str">
        <f ca="1" t="shared" si="62"/>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0"/>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1"/>
        <v>0</v>
      </c>
      <c r="AB421" s="162" t="str">
        <f ca="1" t="shared" si="62"/>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0"/>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1"/>
        <v>0</v>
      </c>
      <c r="AB422" s="162" t="str">
        <f ca="1" t="shared" si="62"/>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0"/>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1"/>
        <v>0</v>
      </c>
      <c r="AB423" s="162" t="str">
        <f ca="1" t="shared" si="62"/>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0"/>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1"/>
        <v>0</v>
      </c>
      <c r="AB424" s="162" t="str">
        <f ca="1" t="shared" si="62"/>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0"/>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1"/>
        <v>0</v>
      </c>
      <c r="AB425" s="162" t="str">
        <f ca="1" t="shared" si="62"/>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0"/>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1"/>
        <v>0</v>
      </c>
      <c r="AB426" s="162" t="str">
        <f ca="1" t="shared" si="62"/>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0"/>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1"/>
        <v>0</v>
      </c>
      <c r="AB427" s="162" t="str">
        <f ca="1" t="shared" si="62"/>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0"/>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1"/>
        <v>0</v>
      </c>
      <c r="AB428" s="162" t="str">
        <f ca="1" t="shared" si="62"/>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0"/>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1"/>
        <v>0</v>
      </c>
      <c r="AB429" s="162" t="str">
        <f ca="1" t="shared" si="62"/>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0"/>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1"/>
        <v>0</v>
      </c>
      <c r="AB430" s="162" t="str">
        <f ca="1" t="shared" si="62"/>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0"/>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1"/>
        <v>0</v>
      </c>
      <c r="AB431" s="162" t="str">
        <f ca="1" t="shared" si="62"/>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0"/>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1"/>
        <v>0</v>
      </c>
      <c r="AB432" s="162" t="str">
        <f ca="1" t="shared" si="62"/>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0"/>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1"/>
        <v>0</v>
      </c>
      <c r="AB433" s="162" t="str">
        <f ca="1" t="shared" si="62"/>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0"/>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1"/>
        <v>0</v>
      </c>
      <c r="AB434" s="162" t="str">
        <f ca="1" t="shared" si="62"/>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0"/>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1"/>
        <v>0</v>
      </c>
      <c r="AB435" s="162" t="str">
        <f ca="1" t="shared" si="62"/>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0"/>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1"/>
        <v>0</v>
      </c>
      <c r="AB436" s="162" t="str">
        <f ca="1" t="shared" si="62"/>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0"/>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1"/>
        <v>0</v>
      </c>
      <c r="AB437" s="162" t="str">
        <f ca="1" t="shared" si="62"/>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0"/>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1"/>
        <v>0</v>
      </c>
      <c r="AB438" s="162" t="str">
        <f ca="1" t="shared" si="62"/>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0"/>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1"/>
        <v>0</v>
      </c>
      <c r="AB439" s="162" t="str">
        <f ca="1" t="shared" si="62"/>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0"/>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1"/>
        <v>0</v>
      </c>
      <c r="AB440" s="162" t="str">
        <f ca="1" t="shared" si="62"/>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0"/>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1"/>
        <v>0</v>
      </c>
      <c r="AB441" s="162" t="str">
        <f ca="1" t="shared" si="62"/>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0"/>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1"/>
        <v>0</v>
      </c>
      <c r="AB442" s="162" t="str">
        <f ca="1" t="shared" si="62"/>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ref="S443:S473" si="63">IF(B443="","",IF(ISERROR(MATCH($E443,CL,0)),"Unknown",INDIRECT("'C'!$A$"&amp;MATCH($E443,CL,0)+1)))</f>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ref="X443:X473" si="64">IF(AND(C443="Smelter not listed",OR(LEN(D443)=0,LEN(E443)=0)),1,0)</f>
        <v>0</v>
      </c>
      <c r="AB443" s="162" t="str">
        <f ca="1" t="shared" ref="AB443:AB473" si="65">B443&amp;C443</f>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3"/>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4"/>
        <v>0</v>
      </c>
      <c r="AB444" s="162" t="str">
        <f ca="1" t="shared" si="65"/>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3"/>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4"/>
        <v>0</v>
      </c>
      <c r="AB445" s="162" t="str">
        <f ca="1" t="shared" si="65"/>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3"/>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4"/>
        <v>0</v>
      </c>
      <c r="AB446" s="162" t="str">
        <f ca="1" t="shared" si="65"/>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3"/>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4"/>
        <v>0</v>
      </c>
      <c r="AB447" s="162" t="str">
        <f ca="1" t="shared" si="65"/>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3"/>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4"/>
        <v>0</v>
      </c>
      <c r="AB448" s="162" t="str">
        <f ca="1" t="shared" si="65"/>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3"/>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4"/>
        <v>0</v>
      </c>
      <c r="AB449" s="162" t="str">
        <f ca="1" t="shared" si="65"/>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3"/>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4"/>
        <v>0</v>
      </c>
      <c r="AB450" s="162" t="str">
        <f ca="1" t="shared" si="65"/>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3"/>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4"/>
        <v>0</v>
      </c>
      <c r="AB451" s="162" t="str">
        <f ca="1" t="shared" si="65"/>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3"/>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4"/>
        <v>0</v>
      </c>
      <c r="AB452" s="162" t="str">
        <f ca="1" t="shared" si="65"/>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3"/>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4"/>
        <v>0</v>
      </c>
      <c r="AB453" s="162" t="str">
        <f ca="1" t="shared" si="65"/>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3"/>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4"/>
        <v>0</v>
      </c>
      <c r="AB454" s="162" t="str">
        <f ca="1" t="shared" si="65"/>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3"/>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4"/>
        <v>0</v>
      </c>
      <c r="AB455" s="162" t="str">
        <f ca="1" t="shared" si="65"/>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3"/>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4"/>
        <v>0</v>
      </c>
      <c r="AB456" s="162" t="str">
        <f ca="1" t="shared" si="65"/>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3"/>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4"/>
        <v>0</v>
      </c>
      <c r="AB457" s="162" t="str">
        <f ca="1" t="shared" si="65"/>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3"/>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4"/>
        <v>0</v>
      </c>
      <c r="AB458" s="162" t="str">
        <f ca="1" t="shared" si="65"/>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3"/>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4"/>
        <v>0</v>
      </c>
      <c r="AB459" s="162" t="str">
        <f ca="1" t="shared" si="65"/>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3"/>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4"/>
        <v>0</v>
      </c>
      <c r="AB460" s="162" t="str">
        <f ca="1" t="shared" si="65"/>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3"/>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4"/>
        <v>0</v>
      </c>
      <c r="AB461" s="162" t="str">
        <f ca="1" t="shared" si="65"/>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3"/>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4"/>
        <v>0</v>
      </c>
      <c r="AB462" s="162" t="str">
        <f ca="1" t="shared" si="65"/>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3"/>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4"/>
        <v>0</v>
      </c>
      <c r="AB463" s="162" t="str">
        <f ca="1" t="shared" si="65"/>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3"/>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4"/>
        <v>0</v>
      </c>
      <c r="AB464" s="162" t="str">
        <f ca="1" t="shared" si="65"/>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3"/>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4"/>
        <v>0</v>
      </c>
      <c r="AB465" s="162" t="str">
        <f ca="1" t="shared" si="65"/>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3"/>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4"/>
        <v>0</v>
      </c>
      <c r="AB466" s="162" t="str">
        <f ca="1" t="shared" si="65"/>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3"/>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4"/>
        <v>0</v>
      </c>
      <c r="AB467" s="162" t="str">
        <f ca="1" t="shared" si="65"/>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3"/>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4"/>
        <v>0</v>
      </c>
      <c r="AB468" s="162" t="str">
        <f ca="1" t="shared" si="65"/>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3"/>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4"/>
        <v>0</v>
      </c>
      <c r="AB469" s="162" t="str">
        <f ca="1" t="shared" si="65"/>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3"/>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4"/>
        <v>0</v>
      </c>
      <c r="AB470" s="162" t="str">
        <f ca="1" t="shared" si="65"/>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3"/>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4"/>
        <v>0</v>
      </c>
      <c r="AB471" s="162" t="str">
        <f ca="1" t="shared" si="65"/>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3"/>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4"/>
        <v>0</v>
      </c>
      <c r="AB472" s="162" t="str">
        <f ca="1" t="shared" si="65"/>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3"/>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4"/>
        <v>0</v>
      </c>
      <c r="AB473" s="162" t="str">
        <f ca="1" t="shared" si="65"/>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ref="S474" si="66">IF(B474="","",IF(ISERROR(MATCH($E474,CL,0)),"Unknown",INDIRECT("'C'!$A$"&amp;MATCH($E474,CL,0)+1)))</f>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ref="X474" si="67">IF(AND(C474="Smelter not listed",OR(LEN(D474)=0,LEN(E474)=0)),1,0)</f>
        <v>0</v>
      </c>
      <c r="AB474" s="162" t="str">
        <f ca="1" t="shared" ref="AB474" si="68">B474&amp;C474</f>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ref="S475:S506" si="69">IF(B475="","",IF(ISERROR(MATCH($E475,CL,0)),"Unknown",INDIRECT("'C'!$A$"&amp;MATCH($E475,CL,0)+1)))</f>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ref="X475:X506" si="70">IF(AND(C475="Smelter not listed",OR(LEN(D475)=0,LEN(E475)=0)),1,0)</f>
        <v>0</v>
      </c>
      <c r="AB475" s="162" t="str">
        <f ca="1" t="shared" ref="AB475:AB506" si="71">B475&amp;C475</f>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9"/>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70"/>
        <v>0</v>
      </c>
      <c r="AB476" s="162" t="str">
        <f ca="1" t="shared" si="71"/>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9"/>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70"/>
        <v>0</v>
      </c>
      <c r="AB477" s="162" t="str">
        <f ca="1" t="shared" si="71"/>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9"/>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70"/>
        <v>0</v>
      </c>
      <c r="AB478" s="162" t="str">
        <f ca="1" t="shared" si="71"/>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9"/>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70"/>
        <v>0</v>
      </c>
      <c r="AB479" s="162" t="str">
        <f ca="1" t="shared" si="71"/>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9"/>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70"/>
        <v>0</v>
      </c>
      <c r="AB480" s="162" t="str">
        <f ca="1" t="shared" si="71"/>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9"/>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70"/>
        <v>0</v>
      </c>
      <c r="AB481" s="162" t="str">
        <f ca="1" t="shared" si="71"/>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9"/>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70"/>
        <v>0</v>
      </c>
      <c r="AB482" s="162" t="str">
        <f ca="1" t="shared" si="71"/>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9"/>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0"/>
        <v>0</v>
      </c>
      <c r="AB483" s="162" t="str">
        <f ca="1" t="shared" si="71"/>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9"/>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0"/>
        <v>0</v>
      </c>
      <c r="AB484" s="162" t="str">
        <f ca="1" t="shared" si="71"/>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9"/>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0"/>
        <v>0</v>
      </c>
      <c r="AB485" s="162" t="str">
        <f ca="1" t="shared" si="71"/>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9"/>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0"/>
        <v>0</v>
      </c>
      <c r="AB486" s="162" t="str">
        <f ca="1" t="shared" si="71"/>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9"/>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0"/>
        <v>0</v>
      </c>
      <c r="AB487" s="162" t="str">
        <f ca="1" t="shared" si="71"/>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9"/>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0"/>
        <v>0</v>
      </c>
      <c r="AB488" s="162" t="str">
        <f ca="1" t="shared" si="71"/>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9"/>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0"/>
        <v>0</v>
      </c>
      <c r="AB489" s="162" t="str">
        <f ca="1" t="shared" si="71"/>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9"/>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0"/>
        <v>0</v>
      </c>
      <c r="AB490" s="162" t="str">
        <f ca="1" t="shared" si="71"/>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9"/>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0"/>
        <v>0</v>
      </c>
      <c r="AB491" s="162" t="str">
        <f ca="1" t="shared" si="71"/>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9"/>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0"/>
        <v>0</v>
      </c>
      <c r="AB492" s="162" t="str">
        <f ca="1" t="shared" si="71"/>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9"/>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0"/>
        <v>0</v>
      </c>
      <c r="AB493" s="162" t="str">
        <f ca="1" t="shared" si="71"/>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9"/>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0"/>
        <v>0</v>
      </c>
      <c r="AB494" s="162" t="str">
        <f ca="1" t="shared" si="71"/>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9"/>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0"/>
        <v>0</v>
      </c>
      <c r="AB495" s="162" t="str">
        <f ca="1" t="shared" si="71"/>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9"/>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0"/>
        <v>0</v>
      </c>
      <c r="AB496" s="162" t="str">
        <f ca="1" t="shared" si="71"/>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9"/>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0"/>
        <v>0</v>
      </c>
      <c r="AB497" s="162" t="str">
        <f ca="1" t="shared" si="71"/>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9"/>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0"/>
        <v>0</v>
      </c>
      <c r="AB498" s="162" t="str">
        <f ca="1" t="shared" si="71"/>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9"/>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0"/>
        <v>0</v>
      </c>
      <c r="AB499" s="162" t="str">
        <f ca="1" t="shared" si="71"/>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9"/>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0"/>
        <v>0</v>
      </c>
      <c r="AB500" s="162" t="str">
        <f ca="1" t="shared" si="71"/>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9"/>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0"/>
        <v>0</v>
      </c>
      <c r="AB501" s="162" t="str">
        <f ca="1" t="shared" si="71"/>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9"/>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0"/>
        <v>0</v>
      </c>
      <c r="AB502" s="162" t="str">
        <f ca="1" t="shared" si="71"/>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9"/>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0"/>
        <v>0</v>
      </c>
      <c r="AB503" s="162" t="str">
        <f ca="1" t="shared" si="71"/>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9"/>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0"/>
        <v>0</v>
      </c>
      <c r="AB504" s="162" t="str">
        <f ca="1" t="shared" si="71"/>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9"/>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0"/>
        <v>0</v>
      </c>
      <c r="AB505" s="162" t="str">
        <f ca="1" t="shared" si="71"/>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9"/>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0"/>
        <v>0</v>
      </c>
      <c r="AB506" s="162" t="str">
        <f ca="1" t="shared" si="71"/>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ref="S507:S537" si="72">IF(B507="","",IF(ISERROR(MATCH($E507,CL,0)),"Unknown",INDIRECT("'C'!$A$"&amp;MATCH($E507,CL,0)+1)))</f>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ref="X507:X537" si="73">IF(AND(C507="Smelter not listed",OR(LEN(D507)=0,LEN(E507)=0)),1,0)</f>
        <v>0</v>
      </c>
      <c r="AB507" s="162" t="str">
        <f ca="1" t="shared" ref="AB507:AB537" si="74">B507&amp;C507</f>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2"/>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3"/>
        <v>0</v>
      </c>
      <c r="AB508" s="162" t="str">
        <f ca="1" t="shared" si="74"/>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2"/>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3"/>
        <v>0</v>
      </c>
      <c r="AB509" s="162" t="str">
        <f ca="1" t="shared" si="74"/>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2"/>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3"/>
        <v>0</v>
      </c>
      <c r="AB510" s="162" t="str">
        <f ca="1" t="shared" si="74"/>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2"/>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3"/>
        <v>0</v>
      </c>
      <c r="AB511" s="162" t="str">
        <f ca="1" t="shared" si="74"/>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2"/>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3"/>
        <v>0</v>
      </c>
      <c r="AB512" s="162" t="str">
        <f ca="1" t="shared" si="74"/>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2"/>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3"/>
        <v>0</v>
      </c>
      <c r="AB513" s="162" t="str">
        <f ca="1" t="shared" si="74"/>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2"/>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3"/>
        <v>0</v>
      </c>
      <c r="AB514" s="162" t="str">
        <f ca="1" t="shared" si="74"/>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2"/>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3"/>
        <v>0</v>
      </c>
      <c r="AB515" s="162" t="str">
        <f ca="1" t="shared" si="74"/>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2"/>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3"/>
        <v>0</v>
      </c>
      <c r="AB516" s="162" t="str">
        <f ca="1" t="shared" si="74"/>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2"/>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3"/>
        <v>0</v>
      </c>
      <c r="AB517" s="162" t="str">
        <f ca="1" t="shared" si="74"/>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2"/>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3"/>
        <v>0</v>
      </c>
      <c r="AB518" s="162" t="str">
        <f ca="1" t="shared" si="74"/>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2"/>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3"/>
        <v>0</v>
      </c>
      <c r="AB519" s="162" t="str">
        <f ca="1" t="shared" si="74"/>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2"/>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3"/>
        <v>0</v>
      </c>
      <c r="AB520" s="162" t="str">
        <f ca="1" t="shared" si="74"/>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2"/>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3"/>
        <v>0</v>
      </c>
      <c r="AB521" s="162" t="str">
        <f ca="1" t="shared" si="74"/>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2"/>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3"/>
        <v>0</v>
      </c>
      <c r="AB522" s="162" t="str">
        <f ca="1" t="shared" si="74"/>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2"/>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3"/>
        <v>0</v>
      </c>
      <c r="AB523" s="162" t="str">
        <f ca="1" t="shared" si="74"/>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2"/>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3"/>
        <v>0</v>
      </c>
      <c r="AB524" s="162" t="str">
        <f ca="1" t="shared" si="74"/>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2"/>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3"/>
        <v>0</v>
      </c>
      <c r="AB525" s="162" t="str">
        <f ca="1" t="shared" si="74"/>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2"/>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3"/>
        <v>0</v>
      </c>
      <c r="AB526" s="162" t="str">
        <f ca="1" t="shared" si="74"/>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2"/>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3"/>
        <v>0</v>
      </c>
      <c r="AB527" s="162" t="str">
        <f ca="1" t="shared" si="74"/>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2"/>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3"/>
        <v>0</v>
      </c>
      <c r="AB528" s="162" t="str">
        <f ca="1" t="shared" si="74"/>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2"/>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3"/>
        <v>0</v>
      </c>
      <c r="AB529" s="162" t="str">
        <f ca="1" t="shared" si="74"/>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2"/>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3"/>
        <v>0</v>
      </c>
      <c r="AB530" s="162" t="str">
        <f ca="1" t="shared" si="74"/>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2"/>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3"/>
        <v>0</v>
      </c>
      <c r="AB531" s="162" t="str">
        <f ca="1" t="shared" si="74"/>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2"/>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3"/>
        <v>0</v>
      </c>
      <c r="AB532" s="162" t="str">
        <f ca="1" t="shared" si="74"/>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2"/>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3"/>
        <v>0</v>
      </c>
      <c r="AB533" s="162" t="str">
        <f ca="1" t="shared" si="74"/>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2"/>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3"/>
        <v>0</v>
      </c>
      <c r="AB534" s="162" t="str">
        <f ca="1" t="shared" si="74"/>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2"/>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3"/>
        <v>0</v>
      </c>
      <c r="AB535" s="162" t="str">
        <f ca="1" t="shared" si="74"/>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2"/>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3"/>
        <v>0</v>
      </c>
      <c r="AB536" s="162" t="str">
        <f ca="1" t="shared" si="74"/>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2"/>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3"/>
        <v>0</v>
      </c>
      <c r="AB537" s="162" t="str">
        <f ca="1" t="shared" si="74"/>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ref="S538" si="75">IF(B538="","",IF(ISERROR(MATCH($E538,CL,0)),"Unknown",INDIRECT("'C'!$A$"&amp;MATCH($E538,CL,0)+1)))</f>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ref="X538:X542" si="76">IF(AND(C538="Smelter not listed",OR(LEN(D538)=0,LEN(E538)=0)),1,0)</f>
        <v>0</v>
      </c>
      <c r="AB538" s="162" t="str">
        <f ca="1" t="shared" ref="AB538:AB542" si="77">B538&amp;C538</f>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IF(B539="","",IF(ISERROR(MATCH($E539,CL,0)),"Unknown",INDIRECT("'C'!$A$"&amp;MATCH($E539,CL,0)+1)))</f>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6"/>
        <v>0</v>
      </c>
      <c r="AB539" s="162" t="str">
        <f ca="1" t="shared" si="77"/>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IF(B540="","",IF(ISERROR(MATCH($E540,CL,0)),"Unknown",INDIRECT("'C'!$A$"&amp;MATCH($E540,CL,0)+1)))</f>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6"/>
        <v>0</v>
      </c>
      <c r="AB540" s="162" t="str">
        <f ca="1" t="shared" si="77"/>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IF(B541="","",IF(ISERROR(MATCH($E541,CL,0)),"Unknown",INDIRECT("'C'!$A$"&amp;MATCH($E541,CL,0)+1)))</f>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6"/>
        <v>0</v>
      </c>
      <c r="AB541" s="162" t="str">
        <f ca="1" t="shared" si="77"/>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IF(B542="","",IF(ISERROR(MATCH($E542,CL,0)),"Unknown",INDIRECT("'C'!$A$"&amp;MATCH($E542,CL,0)+1)))</f>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6"/>
        <v>0</v>
      </c>
      <c r="AB542" s="162" t="str">
        <f ca="1" t="shared" si="77"/>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ref="S543" si="78">IF(B543="","",IF(ISERROR(MATCH($E543,CL,0)),"Unknown",INDIRECT("'C'!$A$"&amp;MATCH($E543,CL,0)+1)))</f>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ref="X543" si="79">IF(AND(C543="Smelter not listed",OR(LEN(D543)=0,LEN(E543)=0)),1,0)</f>
        <v>0</v>
      </c>
      <c r="AB543" s="162" t="str">
        <f ca="1" t="shared" ref="AB543" si="80">B543&amp;C543</f>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ref="S544:S591" si="81">IF(B544="","",IF(ISERROR(MATCH($E544,CL,0)),"Unknown",INDIRECT("'C'!$A$"&amp;MATCH($E544,CL,0)+1)))</f>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ref="X544:X591" si="82">IF(AND(C544="Smelter not listed",OR(LEN(D544)=0,LEN(E544)=0)),1,0)</f>
        <v>0</v>
      </c>
      <c r="AB544" s="162" t="str">
        <f ca="1" t="shared" ref="AB544:AB591" si="83">B544&amp;C544</f>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81"/>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82"/>
        <v>0</v>
      </c>
      <c r="AB545" s="162" t="str">
        <f ca="1" t="shared" si="83"/>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81"/>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82"/>
        <v>0</v>
      </c>
      <c r="AB546" s="162" t="str">
        <f ca="1" t="shared" si="83"/>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81"/>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82"/>
        <v>0</v>
      </c>
      <c r="AB547" s="162" t="str">
        <f ca="1" t="shared" si="83"/>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81"/>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82"/>
        <v>0</v>
      </c>
      <c r="AB548" s="162" t="str">
        <f ca="1" t="shared" si="83"/>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81"/>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82"/>
        <v>0</v>
      </c>
      <c r="AB549" s="162" t="str">
        <f ca="1" t="shared" si="83"/>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81"/>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82"/>
        <v>0</v>
      </c>
      <c r="AB550" s="162" t="str">
        <f ca="1" t="shared" si="83"/>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81"/>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82"/>
        <v>0</v>
      </c>
      <c r="AB551" s="162" t="str">
        <f ca="1" t="shared" si="83"/>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1"/>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2"/>
        <v>0</v>
      </c>
      <c r="AB552" s="162" t="str">
        <f ca="1" t="shared" si="83"/>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1"/>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2"/>
        <v>0</v>
      </c>
      <c r="AB553" s="162" t="str">
        <f ca="1" t="shared" si="83"/>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1"/>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2"/>
        <v>0</v>
      </c>
      <c r="AB554" s="162" t="str">
        <f ca="1" t="shared" si="83"/>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1"/>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2"/>
        <v>0</v>
      </c>
      <c r="AB555" s="162" t="str">
        <f ca="1" t="shared" si="83"/>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1"/>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2"/>
        <v>0</v>
      </c>
      <c r="AB556" s="162" t="str">
        <f ca="1" t="shared" si="83"/>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1"/>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2"/>
        <v>0</v>
      </c>
      <c r="AB557" s="162" t="str">
        <f ca="1" t="shared" si="83"/>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1"/>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2"/>
        <v>0</v>
      </c>
      <c r="AB558" s="162" t="str">
        <f ca="1" t="shared" si="83"/>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1"/>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2"/>
        <v>0</v>
      </c>
      <c r="AB559" s="162" t="str">
        <f ca="1" t="shared" si="83"/>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1"/>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2"/>
        <v>0</v>
      </c>
      <c r="AB560" s="162" t="str">
        <f ca="1" t="shared" si="83"/>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1"/>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2"/>
        <v>0</v>
      </c>
      <c r="AB561" s="162" t="str">
        <f ca="1" t="shared" si="83"/>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1"/>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2"/>
        <v>0</v>
      </c>
      <c r="AB562" s="162" t="str">
        <f ca="1" t="shared" si="83"/>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1"/>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2"/>
        <v>0</v>
      </c>
      <c r="AB563" s="162" t="str">
        <f ca="1" t="shared" si="83"/>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1"/>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2"/>
        <v>0</v>
      </c>
      <c r="AB564" s="162" t="str">
        <f ca="1" t="shared" si="83"/>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1"/>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2"/>
        <v>0</v>
      </c>
      <c r="AB565" s="162" t="str">
        <f ca="1" t="shared" si="83"/>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1"/>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2"/>
        <v>0</v>
      </c>
      <c r="AB566" s="162" t="str">
        <f ca="1" t="shared" si="83"/>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1"/>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2"/>
        <v>0</v>
      </c>
      <c r="AB567" s="162" t="str">
        <f ca="1" t="shared" si="83"/>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1"/>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2"/>
        <v>0</v>
      </c>
      <c r="AB568" s="162" t="str">
        <f ca="1" t="shared" si="83"/>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1"/>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2"/>
        <v>0</v>
      </c>
      <c r="AB569" s="162" t="str">
        <f ca="1" t="shared" si="83"/>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1"/>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2"/>
        <v>0</v>
      </c>
      <c r="AB570" s="162" t="str">
        <f ca="1" t="shared" si="83"/>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1"/>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2"/>
        <v>0</v>
      </c>
      <c r="AB571" s="162" t="str">
        <f ca="1" t="shared" si="83"/>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1"/>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2"/>
        <v>0</v>
      </c>
      <c r="AB572" s="162" t="str">
        <f ca="1" t="shared" si="83"/>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1"/>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2"/>
        <v>0</v>
      </c>
      <c r="AB573" s="162" t="str">
        <f ca="1" t="shared" si="83"/>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1"/>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2"/>
        <v>0</v>
      </c>
      <c r="AB574" s="162" t="str">
        <f ca="1" t="shared" si="83"/>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1"/>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2"/>
        <v>0</v>
      </c>
      <c r="AB575" s="162" t="str">
        <f ca="1" t="shared" si="83"/>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1"/>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2"/>
        <v>0</v>
      </c>
      <c r="AB576" s="162" t="str">
        <f ca="1" t="shared" si="83"/>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1"/>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2"/>
        <v>0</v>
      </c>
      <c r="AB577" s="162" t="str">
        <f ca="1" t="shared" si="83"/>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1"/>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2"/>
        <v>0</v>
      </c>
      <c r="AB578" s="162" t="str">
        <f ca="1" t="shared" si="83"/>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1"/>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2"/>
        <v>0</v>
      </c>
      <c r="AB579" s="162" t="str">
        <f ca="1" t="shared" si="83"/>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1"/>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2"/>
        <v>0</v>
      </c>
      <c r="AB580" s="162" t="str">
        <f ca="1" t="shared" si="83"/>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1"/>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2"/>
        <v>0</v>
      </c>
      <c r="AB581" s="162" t="str">
        <f ca="1" t="shared" si="83"/>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1"/>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2"/>
        <v>0</v>
      </c>
      <c r="AB582" s="162" t="str">
        <f ca="1" t="shared" si="83"/>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1"/>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2"/>
        <v>0</v>
      </c>
      <c r="AB583" s="162" t="str">
        <f ca="1" t="shared" si="83"/>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1"/>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2"/>
        <v>0</v>
      </c>
      <c r="AB584" s="162" t="str">
        <f ca="1" t="shared" si="83"/>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1"/>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2"/>
        <v>0</v>
      </c>
      <c r="AB585" s="162" t="str">
        <f ca="1" t="shared" si="83"/>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1"/>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2"/>
        <v>0</v>
      </c>
      <c r="AB586" s="162" t="str">
        <f ca="1" t="shared" si="83"/>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1"/>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2"/>
        <v>0</v>
      </c>
      <c r="AB587" s="162" t="str">
        <f ca="1" t="shared" si="83"/>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1"/>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2"/>
        <v>0</v>
      </c>
      <c r="AB588" s="162" t="str">
        <f ca="1" t="shared" si="83"/>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1"/>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2"/>
        <v>0</v>
      </c>
      <c r="AB589" s="162" t="str">
        <f ca="1" t="shared" si="83"/>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1"/>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2"/>
        <v>0</v>
      </c>
      <c r="AB590" s="162" t="str">
        <f ca="1" t="shared" si="83"/>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1"/>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2"/>
        <v>0</v>
      </c>
      <c r="AB591" s="162" t="str">
        <f ca="1" t="shared" si="83"/>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ref="S592" si="84">IF(B592="","",IF(ISERROR(MATCH($E592,CL,0)),"Unknown",INDIRECT("'C'!$A$"&amp;MATCH($E592,CL,0)+1)))</f>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ref="X592" si="85">IF(AND(C592="Smelter not listed",OR(LEN(D592)=0,LEN(E592)=0)),1,0)</f>
        <v>0</v>
      </c>
      <c r="AB592" s="162" t="str">
        <f ca="1" t="shared" ref="AB592" si="86">B592&amp;C592</f>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ref="S593:S624" si="87">IF(B593="","",IF(ISERROR(MATCH($E593,CL,0)),"Unknown",INDIRECT("'C'!$A$"&amp;MATCH($E593,CL,0)+1)))</f>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ref="X593:X624" si="88">IF(AND(C593="Smelter not listed",OR(LEN(D593)=0,LEN(E593)=0)),1,0)</f>
        <v>0</v>
      </c>
      <c r="AB593" s="162" t="str">
        <f ca="1" t="shared" ref="AB593:AB624" si="89">B593&amp;C593</f>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7"/>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8"/>
        <v>0</v>
      </c>
      <c r="AB594" s="162" t="str">
        <f ca="1" t="shared" si="89"/>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7"/>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8"/>
        <v>0</v>
      </c>
      <c r="AB595" s="162" t="str">
        <f ca="1" t="shared" si="89"/>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7"/>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8"/>
        <v>0</v>
      </c>
      <c r="AB596" s="162" t="str">
        <f ca="1" t="shared" si="89"/>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7"/>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8"/>
        <v>0</v>
      </c>
      <c r="AB597" s="162" t="str">
        <f ca="1" t="shared" si="89"/>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7"/>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8"/>
        <v>0</v>
      </c>
      <c r="AB598" s="162" t="str">
        <f ca="1" t="shared" si="89"/>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7"/>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8"/>
        <v>0</v>
      </c>
      <c r="AB599" s="162" t="str">
        <f ca="1" t="shared" si="89"/>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7"/>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8"/>
        <v>0</v>
      </c>
      <c r="AB600" s="162" t="str">
        <f ca="1" t="shared" si="89"/>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7"/>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8"/>
        <v>0</v>
      </c>
      <c r="AB601" s="162" t="str">
        <f ca="1" t="shared" si="89"/>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7"/>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8"/>
        <v>0</v>
      </c>
      <c r="AB602" s="162" t="str">
        <f ca="1" t="shared" si="89"/>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7"/>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8"/>
        <v>0</v>
      </c>
      <c r="AB603" s="162" t="str">
        <f ca="1" t="shared" si="89"/>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7"/>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8"/>
        <v>0</v>
      </c>
      <c r="AB604" s="162" t="str">
        <f ca="1" t="shared" si="89"/>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7"/>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8"/>
        <v>0</v>
      </c>
      <c r="AB605" s="162" t="str">
        <f ca="1" t="shared" si="89"/>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7"/>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8"/>
        <v>0</v>
      </c>
      <c r="AB606" s="162" t="str">
        <f ca="1" t="shared" si="89"/>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7"/>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8"/>
        <v>0</v>
      </c>
      <c r="AB607" s="162" t="str">
        <f ca="1" t="shared" si="89"/>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7"/>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8"/>
        <v>0</v>
      </c>
      <c r="AB608" s="162" t="str">
        <f ca="1" t="shared" si="89"/>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7"/>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8"/>
        <v>0</v>
      </c>
      <c r="AB609" s="162" t="str">
        <f ca="1" t="shared" si="89"/>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7"/>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8"/>
        <v>0</v>
      </c>
      <c r="AB610" s="162" t="str">
        <f ca="1" t="shared" si="89"/>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7"/>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8"/>
        <v>0</v>
      </c>
      <c r="AB611" s="162" t="str">
        <f ca="1" t="shared" si="89"/>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7"/>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8"/>
        <v>0</v>
      </c>
      <c r="AB612" s="162" t="str">
        <f ca="1" t="shared" si="89"/>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7"/>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8"/>
        <v>0</v>
      </c>
      <c r="AB613" s="162" t="str">
        <f ca="1" t="shared" si="89"/>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7"/>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8"/>
        <v>0</v>
      </c>
      <c r="AB614" s="162" t="str">
        <f ca="1" t="shared" si="89"/>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7"/>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8"/>
        <v>0</v>
      </c>
      <c r="AB615" s="162" t="str">
        <f ca="1" t="shared" si="89"/>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7"/>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8"/>
        <v>0</v>
      </c>
      <c r="AB616" s="162" t="str">
        <f ca="1" t="shared" si="89"/>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7"/>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8"/>
        <v>0</v>
      </c>
      <c r="AB617" s="162" t="str">
        <f ca="1" t="shared" si="89"/>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7"/>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8"/>
        <v>0</v>
      </c>
      <c r="AB618" s="162" t="str">
        <f ca="1" t="shared" si="89"/>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7"/>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8"/>
        <v>0</v>
      </c>
      <c r="AB619" s="162" t="str">
        <f ca="1" t="shared" si="89"/>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7"/>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8"/>
        <v>0</v>
      </c>
      <c r="AB620" s="162" t="str">
        <f ca="1" t="shared" si="89"/>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7"/>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8"/>
        <v>0</v>
      </c>
      <c r="AB621" s="162" t="str">
        <f ca="1" t="shared" si="89"/>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7"/>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8"/>
        <v>0</v>
      </c>
      <c r="AB622" s="162" t="str">
        <f ca="1" t="shared" si="89"/>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7"/>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8"/>
        <v>0</v>
      </c>
      <c r="AB623" s="162" t="str">
        <f ca="1" t="shared" si="89"/>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7"/>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8"/>
        <v>0</v>
      </c>
      <c r="AB624" s="162" t="str">
        <f ca="1" t="shared" si="89"/>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ref="S625:S655" si="90">IF(B625="","",IF(ISERROR(MATCH($E625,CL,0)),"Unknown",INDIRECT("'C'!$A$"&amp;MATCH($E625,CL,0)+1)))</f>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ref="X625:X655" si="91">IF(AND(C625="Smelter not listed",OR(LEN(D625)=0,LEN(E625)=0)),1,0)</f>
        <v>0</v>
      </c>
      <c r="AB625" s="162" t="str">
        <f ca="1" t="shared" ref="AB625:AB655" si="92">B625&amp;C625</f>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0"/>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1"/>
        <v>0</v>
      </c>
      <c r="AB626" s="162" t="str">
        <f ca="1" t="shared" si="92"/>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0"/>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1"/>
        <v>0</v>
      </c>
      <c r="AB627" s="162" t="str">
        <f ca="1" t="shared" si="92"/>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0"/>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1"/>
        <v>0</v>
      </c>
      <c r="AB628" s="162" t="str">
        <f ca="1" t="shared" si="92"/>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0"/>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1"/>
        <v>0</v>
      </c>
      <c r="AB629" s="162" t="str">
        <f ca="1" t="shared" si="92"/>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0"/>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1"/>
        <v>0</v>
      </c>
      <c r="AB630" s="162" t="str">
        <f ca="1" t="shared" si="92"/>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0"/>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1"/>
        <v>0</v>
      </c>
      <c r="AB631" s="162" t="str">
        <f ca="1" t="shared" si="92"/>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0"/>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1"/>
        <v>0</v>
      </c>
      <c r="AB632" s="162" t="str">
        <f ca="1" t="shared" si="92"/>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0"/>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1"/>
        <v>0</v>
      </c>
      <c r="AB633" s="162" t="str">
        <f ca="1" t="shared" si="92"/>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0"/>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1"/>
        <v>0</v>
      </c>
      <c r="AB634" s="162" t="str">
        <f ca="1" t="shared" si="92"/>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0"/>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1"/>
        <v>0</v>
      </c>
      <c r="AB635" s="162" t="str">
        <f ca="1" t="shared" si="92"/>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0"/>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1"/>
        <v>0</v>
      </c>
      <c r="AB636" s="162" t="str">
        <f ca="1" t="shared" si="92"/>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0"/>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1"/>
        <v>0</v>
      </c>
      <c r="AB637" s="162" t="str">
        <f ca="1" t="shared" si="92"/>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0"/>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1"/>
        <v>0</v>
      </c>
      <c r="AB638" s="162" t="str">
        <f ca="1" t="shared" si="92"/>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0"/>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1"/>
        <v>0</v>
      </c>
      <c r="AB639" s="162" t="str">
        <f ca="1" t="shared" si="92"/>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0"/>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1"/>
        <v>0</v>
      </c>
      <c r="AB640" s="162" t="str">
        <f ca="1" t="shared" si="92"/>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0"/>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1"/>
        <v>0</v>
      </c>
      <c r="AB641" s="162" t="str">
        <f ca="1" t="shared" si="92"/>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0"/>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1"/>
        <v>0</v>
      </c>
      <c r="AB642" s="162" t="str">
        <f ca="1" t="shared" si="92"/>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0"/>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1"/>
        <v>0</v>
      </c>
      <c r="AB643" s="162" t="str">
        <f ca="1" t="shared" si="92"/>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0"/>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1"/>
        <v>0</v>
      </c>
      <c r="AB644" s="162" t="str">
        <f ca="1" t="shared" si="92"/>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0"/>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1"/>
        <v>0</v>
      </c>
      <c r="AB645" s="162" t="str">
        <f ca="1" t="shared" si="92"/>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0"/>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1"/>
        <v>0</v>
      </c>
      <c r="AB646" s="162" t="str">
        <f ca="1" t="shared" si="92"/>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0"/>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1"/>
        <v>0</v>
      </c>
      <c r="AB647" s="162" t="str">
        <f ca="1" t="shared" si="92"/>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0"/>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1"/>
        <v>0</v>
      </c>
      <c r="AB648" s="162" t="str">
        <f ca="1" t="shared" si="92"/>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0"/>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1"/>
        <v>0</v>
      </c>
      <c r="AB649" s="162" t="str">
        <f ca="1" t="shared" si="92"/>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0"/>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1"/>
        <v>0</v>
      </c>
      <c r="AB650" s="162" t="str">
        <f ca="1" t="shared" si="92"/>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0"/>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1"/>
        <v>0</v>
      </c>
      <c r="AB651" s="162" t="str">
        <f ca="1" t="shared" si="92"/>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0"/>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1"/>
        <v>0</v>
      </c>
      <c r="AB652" s="162" t="str">
        <f ca="1" t="shared" si="92"/>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0"/>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1"/>
        <v>0</v>
      </c>
      <c r="AB653" s="162" t="str">
        <f ca="1" t="shared" si="92"/>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0"/>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1"/>
        <v>0</v>
      </c>
      <c r="AB654" s="162" t="str">
        <f ca="1" t="shared" si="92"/>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0"/>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1"/>
        <v>0</v>
      </c>
      <c r="AB655" s="162" t="str">
        <f ca="1" t="shared" si="92"/>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ref="S656" si="93">IF(B656="","",IF(ISERROR(MATCH($E656,CL,0)),"Unknown",INDIRECT("'C'!$A$"&amp;MATCH($E656,CL,0)+1)))</f>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ref="X656" si="94">IF(AND(C656="Smelter not listed",OR(LEN(D656)=0,LEN(E656)=0)),1,0)</f>
        <v>0</v>
      </c>
      <c r="AB656" s="162" t="str">
        <f ca="1" t="shared" ref="AB656" si="95">B656&amp;C656</f>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ref="S657:S688" si="96">IF(B657="","",IF(ISERROR(MATCH($E657,CL,0)),"Unknown",INDIRECT("'C'!$A$"&amp;MATCH($E657,CL,0)+1)))</f>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ref="X657:X688" si="97">IF(AND(C657="Smelter not listed",OR(LEN(D657)=0,LEN(E657)=0)),1,0)</f>
        <v>0</v>
      </c>
      <c r="AB657" s="162" t="str">
        <f ca="1" t="shared" ref="AB657:AB688" si="98">B657&amp;C657</f>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6"/>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7"/>
        <v>0</v>
      </c>
      <c r="AB658" s="162" t="str">
        <f ca="1" t="shared" si="98"/>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6"/>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7"/>
        <v>0</v>
      </c>
      <c r="AB659" s="162" t="str">
        <f ca="1" t="shared" si="98"/>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6"/>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7"/>
        <v>0</v>
      </c>
      <c r="AB660" s="162" t="str">
        <f ca="1" t="shared" si="98"/>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6"/>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7"/>
        <v>0</v>
      </c>
      <c r="AB661" s="162" t="str">
        <f ca="1" t="shared" si="98"/>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6"/>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7"/>
        <v>0</v>
      </c>
      <c r="AB662" s="162" t="str">
        <f ca="1" t="shared" si="98"/>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6"/>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7"/>
        <v>0</v>
      </c>
      <c r="AB663" s="162" t="str">
        <f ca="1" t="shared" si="98"/>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6"/>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7"/>
        <v>0</v>
      </c>
      <c r="AB664" s="162" t="str">
        <f ca="1" t="shared" si="98"/>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6"/>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7"/>
        <v>0</v>
      </c>
      <c r="AB665" s="162" t="str">
        <f ca="1" t="shared" si="98"/>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6"/>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7"/>
        <v>0</v>
      </c>
      <c r="AB666" s="162" t="str">
        <f ca="1" t="shared" si="98"/>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6"/>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7"/>
        <v>0</v>
      </c>
      <c r="AB667" s="162" t="str">
        <f ca="1" t="shared" si="98"/>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6"/>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7"/>
        <v>0</v>
      </c>
      <c r="AB668" s="162" t="str">
        <f ca="1" t="shared" si="98"/>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6"/>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7"/>
        <v>0</v>
      </c>
      <c r="AB669" s="162" t="str">
        <f ca="1" t="shared" si="98"/>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6"/>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7"/>
        <v>0</v>
      </c>
      <c r="AB670" s="162" t="str">
        <f ca="1" t="shared" si="98"/>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6"/>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7"/>
        <v>0</v>
      </c>
      <c r="AB671" s="162" t="str">
        <f ca="1" t="shared" si="98"/>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6"/>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7"/>
        <v>0</v>
      </c>
      <c r="AB672" s="162" t="str">
        <f ca="1" t="shared" si="98"/>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6"/>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7"/>
        <v>0</v>
      </c>
      <c r="AB673" s="162" t="str">
        <f ca="1" t="shared" si="98"/>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6"/>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7"/>
        <v>0</v>
      </c>
      <c r="AB674" s="162" t="str">
        <f ca="1" t="shared" si="98"/>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6"/>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7"/>
        <v>0</v>
      </c>
      <c r="AB675" s="162" t="str">
        <f ca="1" t="shared" si="98"/>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6"/>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7"/>
        <v>0</v>
      </c>
      <c r="AB676" s="162" t="str">
        <f ca="1" t="shared" si="98"/>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6"/>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7"/>
        <v>0</v>
      </c>
      <c r="AB677" s="162" t="str">
        <f ca="1" t="shared" si="98"/>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6"/>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7"/>
        <v>0</v>
      </c>
      <c r="AB678" s="162" t="str">
        <f ca="1" t="shared" si="98"/>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6"/>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7"/>
        <v>0</v>
      </c>
      <c r="AB679" s="162" t="str">
        <f ca="1" t="shared" si="98"/>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6"/>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7"/>
        <v>0</v>
      </c>
      <c r="AB680" s="162" t="str">
        <f ca="1" t="shared" si="98"/>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6"/>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7"/>
        <v>0</v>
      </c>
      <c r="AB681" s="162" t="str">
        <f ca="1" t="shared" si="98"/>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6"/>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7"/>
        <v>0</v>
      </c>
      <c r="AB682" s="162" t="str">
        <f ca="1" t="shared" si="98"/>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6"/>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7"/>
        <v>0</v>
      </c>
      <c r="AB683" s="162" t="str">
        <f ca="1" t="shared" si="98"/>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6"/>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7"/>
        <v>0</v>
      </c>
      <c r="AB684" s="162" t="str">
        <f ca="1" t="shared" si="98"/>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6"/>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7"/>
        <v>0</v>
      </c>
      <c r="AB685" s="162" t="str">
        <f ca="1" t="shared" si="98"/>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6"/>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7"/>
        <v>0</v>
      </c>
      <c r="AB686" s="162" t="str">
        <f ca="1" t="shared" si="98"/>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6"/>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7"/>
        <v>0</v>
      </c>
      <c r="AB687" s="162" t="str">
        <f ca="1" t="shared" si="98"/>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6"/>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7"/>
        <v>0</v>
      </c>
      <c r="AB688" s="162" t="str">
        <f ca="1" t="shared" si="98"/>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ref="S689:S719" si="99">IF(B689="","",IF(ISERROR(MATCH($E689,CL,0)),"Unknown",INDIRECT("'C'!$A$"&amp;MATCH($E689,CL,0)+1)))</f>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ref="X689:X719" si="100">IF(AND(C689="Smelter not listed",OR(LEN(D689)=0,LEN(E689)=0)),1,0)</f>
        <v>0</v>
      </c>
      <c r="AB689" s="162" t="str">
        <f ca="1" t="shared" ref="AB689:AB719" si="101">B689&amp;C689</f>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9"/>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0"/>
        <v>0</v>
      </c>
      <c r="AB690" s="162" t="str">
        <f ca="1" t="shared" si="101"/>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9"/>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0"/>
        <v>0</v>
      </c>
      <c r="AB691" s="162" t="str">
        <f ca="1" t="shared" si="101"/>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9"/>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0"/>
        <v>0</v>
      </c>
      <c r="AB692" s="162" t="str">
        <f ca="1" t="shared" si="101"/>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9"/>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0"/>
        <v>0</v>
      </c>
      <c r="AB693" s="162" t="str">
        <f ca="1" t="shared" si="101"/>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9"/>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0"/>
        <v>0</v>
      </c>
      <c r="AB694" s="162" t="str">
        <f ca="1" t="shared" si="101"/>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9"/>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0"/>
        <v>0</v>
      </c>
      <c r="AB695" s="162" t="str">
        <f ca="1" t="shared" si="101"/>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9"/>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0"/>
        <v>0</v>
      </c>
      <c r="AB696" s="162" t="str">
        <f ca="1" t="shared" si="101"/>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99"/>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0"/>
        <v>0</v>
      </c>
      <c r="AB697" s="162" t="str">
        <f ca="1" t="shared" si="101"/>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99"/>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0"/>
        <v>0</v>
      </c>
      <c r="AB698" s="162" t="str">
        <f ca="1" t="shared" si="101"/>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99"/>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0"/>
        <v>0</v>
      </c>
      <c r="AB699" s="162" t="str">
        <f ca="1" t="shared" si="101"/>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99"/>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0"/>
        <v>0</v>
      </c>
      <c r="AB700" s="162" t="str">
        <f ca="1" t="shared" si="101"/>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99"/>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0"/>
        <v>0</v>
      </c>
      <c r="AB701" s="162" t="str">
        <f ca="1" t="shared" si="101"/>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99"/>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0"/>
        <v>0</v>
      </c>
      <c r="AB702" s="162" t="str">
        <f ca="1" t="shared" si="101"/>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99"/>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0"/>
        <v>0</v>
      </c>
      <c r="AB703" s="162" t="str">
        <f ca="1" t="shared" si="101"/>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99"/>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0"/>
        <v>0</v>
      </c>
      <c r="AB704" s="162" t="str">
        <f ca="1" t="shared" si="101"/>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99"/>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0"/>
        <v>0</v>
      </c>
      <c r="AB705" s="162" t="str">
        <f ca="1" t="shared" si="101"/>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99"/>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0"/>
        <v>0</v>
      </c>
      <c r="AB706" s="162" t="str">
        <f ca="1" t="shared" si="101"/>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99"/>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0"/>
        <v>0</v>
      </c>
      <c r="AB707" s="162" t="str">
        <f ca="1" t="shared" si="101"/>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99"/>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0"/>
        <v>0</v>
      </c>
      <c r="AB708" s="162" t="str">
        <f ca="1" t="shared" si="101"/>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99"/>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0"/>
        <v>0</v>
      </c>
      <c r="AB709" s="162" t="str">
        <f ca="1" t="shared" si="101"/>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99"/>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0"/>
        <v>0</v>
      </c>
      <c r="AB710" s="162" t="str">
        <f ca="1" t="shared" si="101"/>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99"/>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0"/>
        <v>0</v>
      </c>
      <c r="AB711" s="162" t="str">
        <f ca="1" t="shared" si="101"/>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99"/>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0"/>
        <v>0</v>
      </c>
      <c r="AB712" s="162" t="str">
        <f ca="1" t="shared" si="101"/>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99"/>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0"/>
        <v>0</v>
      </c>
      <c r="AB713" s="162" t="str">
        <f ca="1" t="shared" si="101"/>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99"/>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0"/>
        <v>0</v>
      </c>
      <c r="AB714" s="162" t="str">
        <f ca="1" t="shared" si="101"/>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99"/>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0"/>
        <v>0</v>
      </c>
      <c r="AB715" s="162" t="str">
        <f ca="1" t="shared" si="101"/>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99"/>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0"/>
        <v>0</v>
      </c>
      <c r="AB716" s="162" t="str">
        <f ca="1" t="shared" si="101"/>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99"/>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0"/>
        <v>0</v>
      </c>
      <c r="AB717" s="162" t="str">
        <f ca="1" t="shared" si="101"/>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99"/>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0"/>
        <v>0</v>
      </c>
      <c r="AB718" s="162" t="str">
        <f ca="1" t="shared" si="101"/>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99"/>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0"/>
        <v>0</v>
      </c>
      <c r="AB719" s="162" t="str">
        <f ca="1" t="shared" si="101"/>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ref="S720" si="102">IF(B720="","",IF(ISERROR(MATCH($E720,CL,0)),"Unknown",INDIRECT("'C'!$A$"&amp;MATCH($E720,CL,0)+1)))</f>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ref="X720" si="103">IF(AND(C720="Smelter not listed",OR(LEN(D720)=0,LEN(E720)=0)),1,0)</f>
        <v>0</v>
      </c>
      <c r="AB720" s="162" t="str">
        <f ca="1" t="shared" ref="AB720" si="104">B720&amp;C720</f>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ref="S721:S752" si="105">IF(B721="","",IF(ISERROR(MATCH($E721,CL,0)),"Unknown",INDIRECT("'C'!$A$"&amp;MATCH($E721,CL,0)+1)))</f>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ref="X721:X752" si="106">IF(AND(C721="Smelter not listed",OR(LEN(D721)=0,LEN(E721)=0)),1,0)</f>
        <v>0</v>
      </c>
      <c r="AB721" s="162" t="str">
        <f ca="1" t="shared" ref="AB721:AB752" si="107">B721&amp;C721</f>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5"/>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6"/>
        <v>0</v>
      </c>
      <c r="AB722" s="162" t="str">
        <f ca="1" t="shared" si="107"/>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5"/>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6"/>
        <v>0</v>
      </c>
      <c r="AB723" s="162" t="str">
        <f ca="1" t="shared" si="107"/>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5"/>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6"/>
        <v>0</v>
      </c>
      <c r="AB724" s="162" t="str">
        <f ca="1" t="shared" si="107"/>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5"/>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6"/>
        <v>0</v>
      </c>
      <c r="AB725" s="162" t="str">
        <f ca="1" t="shared" si="107"/>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5"/>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6"/>
        <v>0</v>
      </c>
      <c r="AB726" s="162" t="str">
        <f ca="1" t="shared" si="107"/>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5"/>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6"/>
        <v>0</v>
      </c>
      <c r="AB727" s="162" t="str">
        <f ca="1" t="shared" si="107"/>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5"/>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6"/>
        <v>0</v>
      </c>
      <c r="AB728" s="162" t="str">
        <f ca="1" t="shared" si="107"/>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5"/>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6"/>
        <v>0</v>
      </c>
      <c r="AB729" s="162" t="str">
        <f ca="1" t="shared" si="107"/>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5"/>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6"/>
        <v>0</v>
      </c>
      <c r="AB730" s="162" t="str">
        <f ca="1" t="shared" si="107"/>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5"/>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6"/>
        <v>0</v>
      </c>
      <c r="AB731" s="162" t="str">
        <f ca="1" t="shared" si="107"/>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5"/>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6"/>
        <v>0</v>
      </c>
      <c r="AB732" s="162" t="str">
        <f ca="1" t="shared" si="107"/>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5"/>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6"/>
        <v>0</v>
      </c>
      <c r="AB733" s="162" t="str">
        <f ca="1" t="shared" si="107"/>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5"/>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6"/>
        <v>0</v>
      </c>
      <c r="AB734" s="162" t="str">
        <f ca="1" t="shared" si="107"/>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5"/>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6"/>
        <v>0</v>
      </c>
      <c r="AB735" s="162" t="str">
        <f ca="1" t="shared" si="107"/>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5"/>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6"/>
        <v>0</v>
      </c>
      <c r="AB736" s="162" t="str">
        <f ca="1" t="shared" si="107"/>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5"/>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6"/>
        <v>0</v>
      </c>
      <c r="AB737" s="162" t="str">
        <f ca="1" t="shared" si="107"/>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5"/>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6"/>
        <v>0</v>
      </c>
      <c r="AB738" s="162" t="str">
        <f ca="1" t="shared" si="107"/>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5"/>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6"/>
        <v>0</v>
      </c>
      <c r="AB739" s="162" t="str">
        <f ca="1" t="shared" si="107"/>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5"/>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6"/>
        <v>0</v>
      </c>
      <c r="AB740" s="162" t="str">
        <f ca="1" t="shared" si="107"/>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5"/>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6"/>
        <v>0</v>
      </c>
      <c r="AB741" s="162" t="str">
        <f ca="1" t="shared" si="107"/>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5"/>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6"/>
        <v>0</v>
      </c>
      <c r="AB742" s="162" t="str">
        <f ca="1" t="shared" si="107"/>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5"/>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6"/>
        <v>0</v>
      </c>
      <c r="AB743" s="162" t="str">
        <f ca="1" t="shared" si="107"/>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5"/>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6"/>
        <v>0</v>
      </c>
      <c r="AB744" s="162" t="str">
        <f ca="1" t="shared" si="107"/>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5"/>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6"/>
        <v>0</v>
      </c>
      <c r="AB745" s="162" t="str">
        <f ca="1" t="shared" si="107"/>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5"/>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6"/>
        <v>0</v>
      </c>
      <c r="AB746" s="162" t="str">
        <f ca="1" t="shared" si="107"/>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5"/>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6"/>
        <v>0</v>
      </c>
      <c r="AB747" s="162" t="str">
        <f ca="1" t="shared" si="107"/>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5"/>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6"/>
        <v>0</v>
      </c>
      <c r="AB748" s="162" t="str">
        <f ca="1" t="shared" si="107"/>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5"/>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6"/>
        <v>0</v>
      </c>
      <c r="AB749" s="162" t="str">
        <f ca="1" t="shared" si="107"/>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5"/>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6"/>
        <v>0</v>
      </c>
      <c r="AB750" s="162" t="str">
        <f ca="1" t="shared" si="107"/>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5"/>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6"/>
        <v>0</v>
      </c>
      <c r="AB751" s="162" t="str">
        <f ca="1" t="shared" si="107"/>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5"/>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6"/>
        <v>0</v>
      </c>
      <c r="AB752" s="162" t="str">
        <f ca="1" t="shared" si="107"/>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ref="S753:S783" si="108">IF(B753="","",IF(ISERROR(MATCH($E753,CL,0)),"Unknown",INDIRECT("'C'!$A$"&amp;MATCH($E753,CL,0)+1)))</f>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ref="X753:X783" si="109">IF(AND(C753="Smelter not listed",OR(LEN(D753)=0,LEN(E753)=0)),1,0)</f>
        <v>0</v>
      </c>
      <c r="AB753" s="162" t="str">
        <f ca="1" t="shared" ref="AB753:AB783" si="110">B753&amp;C753</f>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8"/>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9"/>
        <v>0</v>
      </c>
      <c r="AB754" s="162" t="str">
        <f ca="1" t="shared" si="110"/>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8"/>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9"/>
        <v>0</v>
      </c>
      <c r="AB755" s="162" t="str">
        <f ca="1" t="shared" si="110"/>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8"/>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9"/>
        <v>0</v>
      </c>
      <c r="AB756" s="162" t="str">
        <f ca="1" t="shared" si="110"/>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8"/>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9"/>
        <v>0</v>
      </c>
      <c r="AB757" s="162" t="str">
        <f ca="1" t="shared" si="110"/>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8"/>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9"/>
        <v>0</v>
      </c>
      <c r="AB758" s="162" t="str">
        <f ca="1" t="shared" si="110"/>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8"/>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9"/>
        <v>0</v>
      </c>
      <c r="AB759" s="162" t="str">
        <f ca="1" t="shared" si="110"/>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8"/>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9"/>
        <v>0</v>
      </c>
      <c r="AB760" s="162" t="str">
        <f ca="1" t="shared" si="110"/>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8"/>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09"/>
        <v>0</v>
      </c>
      <c r="AB761" s="162" t="str">
        <f ca="1" t="shared" si="110"/>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8"/>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09"/>
        <v>0</v>
      </c>
      <c r="AB762" s="162" t="str">
        <f ca="1" t="shared" si="110"/>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8"/>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09"/>
        <v>0</v>
      </c>
      <c r="AB763" s="162" t="str">
        <f ca="1" t="shared" si="110"/>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8"/>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09"/>
        <v>0</v>
      </c>
      <c r="AB764" s="162" t="str">
        <f ca="1" t="shared" si="110"/>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8"/>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09"/>
        <v>0</v>
      </c>
      <c r="AB765" s="162" t="str">
        <f ca="1" t="shared" si="110"/>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8"/>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09"/>
        <v>0</v>
      </c>
      <c r="AB766" s="162" t="str">
        <f ca="1" t="shared" si="110"/>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8"/>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09"/>
        <v>0</v>
      </c>
      <c r="AB767" s="162" t="str">
        <f ca="1" t="shared" si="110"/>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8"/>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09"/>
        <v>0</v>
      </c>
      <c r="AB768" s="162" t="str">
        <f ca="1" t="shared" si="110"/>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8"/>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09"/>
        <v>0</v>
      </c>
      <c r="AB769" s="162" t="str">
        <f ca="1" t="shared" si="110"/>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8"/>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09"/>
        <v>0</v>
      </c>
      <c r="AB770" s="162" t="str">
        <f ca="1" t="shared" si="110"/>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8"/>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09"/>
        <v>0</v>
      </c>
      <c r="AB771" s="162" t="str">
        <f ca="1" t="shared" si="110"/>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8"/>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09"/>
        <v>0</v>
      </c>
      <c r="AB772" s="162" t="str">
        <f ca="1" t="shared" si="110"/>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8"/>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09"/>
        <v>0</v>
      </c>
      <c r="AB773" s="162" t="str">
        <f ca="1" t="shared" si="110"/>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8"/>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09"/>
        <v>0</v>
      </c>
      <c r="AB774" s="162" t="str">
        <f ca="1" t="shared" si="110"/>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8"/>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09"/>
        <v>0</v>
      </c>
      <c r="AB775" s="162" t="str">
        <f ca="1" t="shared" si="110"/>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8"/>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09"/>
        <v>0</v>
      </c>
      <c r="AB776" s="162" t="str">
        <f ca="1" t="shared" si="110"/>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8"/>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09"/>
        <v>0</v>
      </c>
      <c r="AB777" s="162" t="str">
        <f ca="1" t="shared" si="110"/>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8"/>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09"/>
        <v>0</v>
      </c>
      <c r="AB778" s="162" t="str">
        <f ca="1" t="shared" si="110"/>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8"/>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09"/>
        <v>0</v>
      </c>
      <c r="AB779" s="162" t="str">
        <f ca="1" t="shared" si="110"/>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8"/>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09"/>
        <v>0</v>
      </c>
      <c r="AB780" s="162" t="str">
        <f ca="1" t="shared" si="110"/>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8"/>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09"/>
        <v>0</v>
      </c>
      <c r="AB781" s="162" t="str">
        <f ca="1" t="shared" si="110"/>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8"/>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09"/>
        <v>0</v>
      </c>
      <c r="AB782" s="162" t="str">
        <f ca="1" t="shared" si="110"/>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8"/>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09"/>
        <v>0</v>
      </c>
      <c r="AB783" s="162" t="str">
        <f ca="1" t="shared" si="110"/>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ref="S784" si="111">IF(B784="","",IF(ISERROR(MATCH($E784,CL,0)),"Unknown",INDIRECT("'C'!$A$"&amp;MATCH($E784,CL,0)+1)))</f>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ref="X784" si="112">IF(AND(C784="Smelter not listed",OR(LEN(D784)=0,LEN(E784)=0)),1,0)</f>
        <v>0</v>
      </c>
      <c r="AB784" s="162" t="str">
        <f ca="1" t="shared" ref="AB784" si="113">B784&amp;C784</f>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ref="S785:S816" si="114">IF(B785="","",IF(ISERROR(MATCH($E785,CL,0)),"Unknown",INDIRECT("'C'!$A$"&amp;MATCH($E785,CL,0)+1)))</f>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ref="X785:X816" si="115">IF(AND(C785="Smelter not listed",OR(LEN(D785)=0,LEN(E785)=0)),1,0)</f>
        <v>0</v>
      </c>
      <c r="AB785" s="162" t="str">
        <f ca="1" t="shared" ref="AB785:AB816" si="116">B785&amp;C785</f>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4"/>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5"/>
        <v>0</v>
      </c>
      <c r="AB786" s="162" t="str">
        <f ca="1" t="shared" si="116"/>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4"/>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5"/>
        <v>0</v>
      </c>
      <c r="AB787" s="162" t="str">
        <f ca="1" t="shared" si="116"/>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4"/>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5"/>
        <v>0</v>
      </c>
      <c r="AB788" s="162" t="str">
        <f ca="1" t="shared" si="116"/>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4"/>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5"/>
        <v>0</v>
      </c>
      <c r="AB789" s="162" t="str">
        <f ca="1" t="shared" si="116"/>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4"/>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5"/>
        <v>0</v>
      </c>
      <c r="AB790" s="162" t="str">
        <f ca="1" t="shared" si="116"/>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4"/>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5"/>
        <v>0</v>
      </c>
      <c r="AB791" s="162" t="str">
        <f ca="1" t="shared" si="116"/>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4"/>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5"/>
        <v>0</v>
      </c>
      <c r="AB792" s="162" t="str">
        <f ca="1" t="shared" si="116"/>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4"/>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5"/>
        <v>0</v>
      </c>
      <c r="AB793" s="162" t="str">
        <f ca="1" t="shared" si="116"/>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4"/>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5"/>
        <v>0</v>
      </c>
      <c r="AB794" s="162" t="str">
        <f ca="1" t="shared" si="116"/>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4"/>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5"/>
        <v>0</v>
      </c>
      <c r="AB795" s="162" t="str">
        <f ca="1" t="shared" si="116"/>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4"/>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5"/>
        <v>0</v>
      </c>
      <c r="AB796" s="162" t="str">
        <f ca="1" t="shared" si="116"/>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4"/>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5"/>
        <v>0</v>
      </c>
      <c r="AB797" s="162" t="str">
        <f ca="1" t="shared" si="116"/>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4"/>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5"/>
        <v>0</v>
      </c>
      <c r="AB798" s="162" t="str">
        <f ca="1" t="shared" si="116"/>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4"/>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5"/>
        <v>0</v>
      </c>
      <c r="AB799" s="162" t="str">
        <f ca="1" t="shared" si="116"/>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4"/>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5"/>
        <v>0</v>
      </c>
      <c r="AB800" s="162" t="str">
        <f ca="1" t="shared" si="116"/>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4"/>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5"/>
        <v>0</v>
      </c>
      <c r="AB801" s="162" t="str">
        <f ca="1" t="shared" si="116"/>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4"/>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5"/>
        <v>0</v>
      </c>
      <c r="AB802" s="162" t="str">
        <f ca="1" t="shared" si="116"/>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4"/>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5"/>
        <v>0</v>
      </c>
      <c r="AB803" s="162" t="str">
        <f ca="1" t="shared" si="116"/>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4"/>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5"/>
        <v>0</v>
      </c>
      <c r="AB804" s="162" t="str">
        <f ca="1" t="shared" si="116"/>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4"/>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5"/>
        <v>0</v>
      </c>
      <c r="AB805" s="162" t="str">
        <f ca="1" t="shared" si="116"/>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4"/>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5"/>
        <v>0</v>
      </c>
      <c r="AB806" s="162" t="str">
        <f ca="1" t="shared" si="116"/>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4"/>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5"/>
        <v>0</v>
      </c>
      <c r="AB807" s="162" t="str">
        <f ca="1" t="shared" si="116"/>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4"/>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5"/>
        <v>0</v>
      </c>
      <c r="AB808" s="162" t="str">
        <f ca="1" t="shared" si="116"/>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4"/>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5"/>
        <v>0</v>
      </c>
      <c r="AB809" s="162" t="str">
        <f ca="1" t="shared" si="116"/>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4"/>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5"/>
        <v>0</v>
      </c>
      <c r="AB810" s="162" t="str">
        <f ca="1" t="shared" si="116"/>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4"/>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5"/>
        <v>0</v>
      </c>
      <c r="AB811" s="162" t="str">
        <f ca="1" t="shared" si="116"/>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4"/>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5"/>
        <v>0</v>
      </c>
      <c r="AB812" s="162" t="str">
        <f ca="1" t="shared" si="116"/>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4"/>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5"/>
        <v>0</v>
      </c>
      <c r="AB813" s="162" t="str">
        <f ca="1" t="shared" si="116"/>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4"/>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5"/>
        <v>0</v>
      </c>
      <c r="AB814" s="162" t="str">
        <f ca="1" t="shared" si="116"/>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4"/>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5"/>
        <v>0</v>
      </c>
      <c r="AB815" s="162" t="str">
        <f ca="1" t="shared" si="116"/>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4"/>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5"/>
        <v>0</v>
      </c>
      <c r="AB816" s="162" t="str">
        <f ca="1" t="shared" si="116"/>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ref="S817:S847" si="117">IF(B817="","",IF(ISERROR(MATCH($E817,CL,0)),"Unknown",INDIRECT("'C'!$A$"&amp;MATCH($E817,CL,0)+1)))</f>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ref="X817:X847" si="118">IF(AND(C817="Smelter not listed",OR(LEN(D817)=0,LEN(E817)=0)),1,0)</f>
        <v>0</v>
      </c>
      <c r="AB817" s="162" t="str">
        <f ca="1" t="shared" ref="AB817:AB847" si="119">B817&amp;C817</f>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7"/>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8"/>
        <v>0</v>
      </c>
      <c r="AB818" s="162" t="str">
        <f ca="1" t="shared" si="119"/>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7"/>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8"/>
        <v>0</v>
      </c>
      <c r="AB819" s="162" t="str">
        <f ca="1" t="shared" si="119"/>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7"/>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8"/>
        <v>0</v>
      </c>
      <c r="AB820" s="162" t="str">
        <f ca="1" t="shared" si="119"/>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7"/>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8"/>
        <v>0</v>
      </c>
      <c r="AB821" s="162" t="str">
        <f ca="1" t="shared" si="119"/>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7"/>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8"/>
        <v>0</v>
      </c>
      <c r="AB822" s="162" t="str">
        <f ca="1" t="shared" si="119"/>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7"/>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8"/>
        <v>0</v>
      </c>
      <c r="AB823" s="162" t="str">
        <f ca="1" t="shared" si="119"/>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7"/>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8"/>
        <v>0</v>
      </c>
      <c r="AB824" s="162" t="str">
        <f ca="1" t="shared" si="119"/>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7"/>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8"/>
        <v>0</v>
      </c>
      <c r="AB825" s="162" t="str">
        <f ca="1" t="shared" si="119"/>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7"/>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8"/>
        <v>0</v>
      </c>
      <c r="AB826" s="162" t="str">
        <f ca="1" t="shared" si="119"/>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7"/>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8"/>
        <v>0</v>
      </c>
      <c r="AB827" s="162" t="str">
        <f ca="1" t="shared" si="119"/>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7"/>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8"/>
        <v>0</v>
      </c>
      <c r="AB828" s="162" t="str">
        <f ca="1" t="shared" si="119"/>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7"/>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8"/>
        <v>0</v>
      </c>
      <c r="AB829" s="162" t="str">
        <f ca="1" t="shared" si="119"/>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7"/>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8"/>
        <v>0</v>
      </c>
      <c r="AB830" s="162" t="str">
        <f ca="1" t="shared" si="119"/>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7"/>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8"/>
        <v>0</v>
      </c>
      <c r="AB831" s="162" t="str">
        <f ca="1" t="shared" si="119"/>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7"/>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8"/>
        <v>0</v>
      </c>
      <c r="AB832" s="162" t="str">
        <f ca="1" t="shared" si="119"/>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7"/>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8"/>
        <v>0</v>
      </c>
      <c r="AB833" s="162" t="str">
        <f ca="1" t="shared" si="119"/>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7"/>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8"/>
        <v>0</v>
      </c>
      <c r="AB834" s="162" t="str">
        <f ca="1" t="shared" si="119"/>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7"/>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8"/>
        <v>0</v>
      </c>
      <c r="AB835" s="162" t="str">
        <f ca="1" t="shared" si="119"/>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7"/>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8"/>
        <v>0</v>
      </c>
      <c r="AB836" s="162" t="str">
        <f ca="1" t="shared" si="119"/>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7"/>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8"/>
        <v>0</v>
      </c>
      <c r="AB837" s="162" t="str">
        <f ca="1" t="shared" si="119"/>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7"/>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8"/>
        <v>0</v>
      </c>
      <c r="AB838" s="162" t="str">
        <f ca="1" t="shared" si="119"/>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7"/>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8"/>
        <v>0</v>
      </c>
      <c r="AB839" s="162" t="str">
        <f ca="1" t="shared" si="119"/>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7"/>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8"/>
        <v>0</v>
      </c>
      <c r="AB840" s="162" t="str">
        <f ca="1" t="shared" si="119"/>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7"/>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8"/>
        <v>0</v>
      </c>
      <c r="AB841" s="162" t="str">
        <f ca="1" t="shared" si="119"/>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7"/>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8"/>
        <v>0</v>
      </c>
      <c r="AB842" s="162" t="str">
        <f ca="1" t="shared" si="119"/>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7"/>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8"/>
        <v>0</v>
      </c>
      <c r="AB843" s="162" t="str">
        <f ca="1" t="shared" si="119"/>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7"/>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8"/>
        <v>0</v>
      </c>
      <c r="AB844" s="162" t="str">
        <f ca="1" t="shared" si="119"/>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7"/>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8"/>
        <v>0</v>
      </c>
      <c r="AB845" s="162" t="str">
        <f ca="1" t="shared" si="119"/>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7"/>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8"/>
        <v>0</v>
      </c>
      <c r="AB846" s="162" t="str">
        <f ca="1" t="shared" si="119"/>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7"/>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8"/>
        <v>0</v>
      </c>
      <c r="AB847" s="162" t="str">
        <f ca="1" t="shared" si="119"/>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ref="S848" si="120">IF(B848="","",IF(ISERROR(MATCH($E848,CL,0)),"Unknown",INDIRECT("'C'!$A$"&amp;MATCH($E848,CL,0)+1)))</f>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ref="X848" si="121">IF(AND(C848="Smelter not listed",OR(LEN(D848)=0,LEN(E848)=0)),1,0)</f>
        <v>0</v>
      </c>
      <c r="AB848" s="162" t="str">
        <f ca="1" t="shared" ref="AB848" si="122">B848&amp;C848</f>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ref="S849:S880" si="123">IF(B849="","",IF(ISERROR(MATCH($E849,CL,0)),"Unknown",INDIRECT("'C'!$A$"&amp;MATCH($E849,CL,0)+1)))</f>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ref="X849:X880" si="124">IF(AND(C849="Smelter not listed",OR(LEN(D849)=0,LEN(E849)=0)),1,0)</f>
        <v>0</v>
      </c>
      <c r="AB849" s="162" t="str">
        <f ca="1" t="shared" ref="AB849:AB880" si="125">B849&amp;C849</f>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3"/>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4"/>
        <v>0</v>
      </c>
      <c r="AB850" s="162" t="str">
        <f ca="1" t="shared" si="125"/>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3"/>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4"/>
        <v>0</v>
      </c>
      <c r="AB851" s="162" t="str">
        <f ca="1" t="shared" si="125"/>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3"/>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4"/>
        <v>0</v>
      </c>
      <c r="AB852" s="162" t="str">
        <f ca="1" t="shared" si="125"/>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3"/>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4"/>
        <v>0</v>
      </c>
      <c r="AB853" s="162" t="str">
        <f ca="1" t="shared" si="125"/>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3"/>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4"/>
        <v>0</v>
      </c>
      <c r="AB854" s="162" t="str">
        <f ca="1" t="shared" si="125"/>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3"/>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4"/>
        <v>0</v>
      </c>
      <c r="AB855" s="162" t="str">
        <f ca="1" t="shared" si="125"/>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3"/>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4"/>
        <v>0</v>
      </c>
      <c r="AB856" s="162" t="str">
        <f ca="1" t="shared" si="125"/>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3"/>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4"/>
        <v>0</v>
      </c>
      <c r="AB857" s="162" t="str">
        <f ca="1" t="shared" si="125"/>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3"/>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4"/>
        <v>0</v>
      </c>
      <c r="AB858" s="162" t="str">
        <f ca="1" t="shared" si="125"/>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3"/>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4"/>
        <v>0</v>
      </c>
      <c r="AB859" s="162" t="str">
        <f ca="1" t="shared" si="125"/>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3"/>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4"/>
        <v>0</v>
      </c>
      <c r="AB860" s="162" t="str">
        <f ca="1" t="shared" si="125"/>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3"/>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4"/>
        <v>0</v>
      </c>
      <c r="AB861" s="162" t="str">
        <f ca="1" t="shared" si="125"/>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3"/>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4"/>
        <v>0</v>
      </c>
      <c r="AB862" s="162" t="str">
        <f ca="1" t="shared" si="125"/>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3"/>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4"/>
        <v>0</v>
      </c>
      <c r="AB863" s="162" t="str">
        <f ca="1" t="shared" si="125"/>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3"/>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4"/>
        <v>0</v>
      </c>
      <c r="AB864" s="162" t="str">
        <f ca="1" t="shared" si="125"/>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3"/>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4"/>
        <v>0</v>
      </c>
      <c r="AB865" s="162" t="str">
        <f ca="1" t="shared" si="125"/>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3"/>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4"/>
        <v>0</v>
      </c>
      <c r="AB866" s="162" t="str">
        <f ca="1" t="shared" si="125"/>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3"/>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4"/>
        <v>0</v>
      </c>
      <c r="AB867" s="162" t="str">
        <f ca="1" t="shared" si="125"/>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3"/>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4"/>
        <v>0</v>
      </c>
      <c r="AB868" s="162" t="str">
        <f ca="1" t="shared" si="125"/>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3"/>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4"/>
        <v>0</v>
      </c>
      <c r="AB869" s="162" t="str">
        <f ca="1" t="shared" si="125"/>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3"/>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4"/>
        <v>0</v>
      </c>
      <c r="AB870" s="162" t="str">
        <f ca="1" t="shared" si="125"/>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3"/>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4"/>
        <v>0</v>
      </c>
      <c r="AB871" s="162" t="str">
        <f ca="1" t="shared" si="125"/>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3"/>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4"/>
        <v>0</v>
      </c>
      <c r="AB872" s="162" t="str">
        <f ca="1" t="shared" si="125"/>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3"/>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4"/>
        <v>0</v>
      </c>
      <c r="AB873" s="162" t="str">
        <f ca="1" t="shared" si="125"/>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3"/>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4"/>
        <v>0</v>
      </c>
      <c r="AB874" s="162" t="str">
        <f ca="1" t="shared" si="125"/>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3"/>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4"/>
        <v>0</v>
      </c>
      <c r="AB875" s="162" t="str">
        <f ca="1" t="shared" si="125"/>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3"/>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4"/>
        <v>0</v>
      </c>
      <c r="AB876" s="162" t="str">
        <f ca="1" t="shared" si="125"/>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3"/>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4"/>
        <v>0</v>
      </c>
      <c r="AB877" s="162" t="str">
        <f ca="1" t="shared" si="125"/>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3"/>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4"/>
        <v>0</v>
      </c>
      <c r="AB878" s="162" t="str">
        <f ca="1" t="shared" si="125"/>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3"/>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4"/>
        <v>0</v>
      </c>
      <c r="AB879" s="162" t="str">
        <f ca="1" t="shared" si="125"/>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3"/>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4"/>
        <v>0</v>
      </c>
      <c r="AB880" s="162" t="str">
        <f ca="1" t="shared" si="125"/>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ref="S881:S911" si="126">IF(B881="","",IF(ISERROR(MATCH($E881,CL,0)),"Unknown",INDIRECT("'C'!$A$"&amp;MATCH($E881,CL,0)+1)))</f>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ref="X881:X911" si="127">IF(AND(C881="Smelter not listed",OR(LEN(D881)=0,LEN(E881)=0)),1,0)</f>
        <v>0</v>
      </c>
      <c r="AB881" s="162" t="str">
        <f ca="1" t="shared" ref="AB881:AB911" si="128">B881&amp;C881</f>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6"/>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7"/>
        <v>0</v>
      </c>
      <c r="AB882" s="162" t="str">
        <f ca="1" t="shared" si="128"/>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6"/>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7"/>
        <v>0</v>
      </c>
      <c r="AB883" s="162" t="str">
        <f ca="1" t="shared" si="128"/>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6"/>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7"/>
        <v>0</v>
      </c>
      <c r="AB884" s="162" t="str">
        <f ca="1" t="shared" si="128"/>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6"/>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7"/>
        <v>0</v>
      </c>
      <c r="AB885" s="162" t="str">
        <f ca="1" t="shared" si="128"/>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6"/>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7"/>
        <v>0</v>
      </c>
      <c r="AB886" s="162" t="str">
        <f ca="1" t="shared" si="128"/>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6"/>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7"/>
        <v>0</v>
      </c>
      <c r="AB887" s="162" t="str">
        <f ca="1" t="shared" si="128"/>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6"/>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7"/>
        <v>0</v>
      </c>
      <c r="AB888" s="162" t="str">
        <f ca="1" t="shared" si="128"/>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6"/>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7"/>
        <v>0</v>
      </c>
      <c r="AB889" s="162" t="str">
        <f ca="1" t="shared" si="128"/>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6"/>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7"/>
        <v>0</v>
      </c>
      <c r="AB890" s="162" t="str">
        <f ca="1" t="shared" si="128"/>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6"/>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7"/>
        <v>0</v>
      </c>
      <c r="AB891" s="162" t="str">
        <f ca="1" t="shared" si="128"/>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6"/>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7"/>
        <v>0</v>
      </c>
      <c r="AB892" s="162" t="str">
        <f ca="1" t="shared" si="128"/>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6"/>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7"/>
        <v>0</v>
      </c>
      <c r="AB893" s="162" t="str">
        <f ca="1" t="shared" si="128"/>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6"/>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7"/>
        <v>0</v>
      </c>
      <c r="AB894" s="162" t="str">
        <f ca="1" t="shared" si="128"/>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6"/>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7"/>
        <v>0</v>
      </c>
      <c r="AB895" s="162" t="str">
        <f ca="1" t="shared" si="128"/>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6"/>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7"/>
        <v>0</v>
      </c>
      <c r="AB896" s="162" t="str">
        <f ca="1" t="shared" si="128"/>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6"/>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7"/>
        <v>0</v>
      </c>
      <c r="AB897" s="162" t="str">
        <f ca="1" t="shared" si="128"/>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6"/>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7"/>
        <v>0</v>
      </c>
      <c r="AB898" s="162" t="str">
        <f ca="1" t="shared" si="128"/>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6"/>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7"/>
        <v>0</v>
      </c>
      <c r="AB899" s="162" t="str">
        <f ca="1" t="shared" si="128"/>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6"/>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7"/>
        <v>0</v>
      </c>
      <c r="AB900" s="162" t="str">
        <f ca="1" t="shared" si="128"/>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6"/>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7"/>
        <v>0</v>
      </c>
      <c r="AB901" s="162" t="str">
        <f ca="1" t="shared" si="128"/>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6"/>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7"/>
        <v>0</v>
      </c>
      <c r="AB902" s="162" t="str">
        <f ca="1" t="shared" si="128"/>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6"/>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7"/>
        <v>0</v>
      </c>
      <c r="AB903" s="162" t="str">
        <f ca="1" t="shared" si="128"/>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6"/>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7"/>
        <v>0</v>
      </c>
      <c r="AB904" s="162" t="str">
        <f ca="1" t="shared" si="128"/>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6"/>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7"/>
        <v>0</v>
      </c>
      <c r="AB905" s="162" t="str">
        <f ca="1" t="shared" si="128"/>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6"/>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7"/>
        <v>0</v>
      </c>
      <c r="AB906" s="162" t="str">
        <f ca="1" t="shared" si="128"/>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6"/>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7"/>
        <v>0</v>
      </c>
      <c r="AB907" s="162" t="str">
        <f ca="1" t="shared" si="128"/>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6"/>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7"/>
        <v>0</v>
      </c>
      <c r="AB908" s="162" t="str">
        <f ca="1" t="shared" si="128"/>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6"/>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7"/>
        <v>0</v>
      </c>
      <c r="AB909" s="162" t="str">
        <f ca="1" t="shared" si="128"/>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6"/>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7"/>
        <v>0</v>
      </c>
      <c r="AB910" s="162" t="str">
        <f ca="1" t="shared" si="128"/>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6"/>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7"/>
        <v>0</v>
      </c>
      <c r="AB911" s="162" t="str">
        <f ca="1" t="shared" si="128"/>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ref="S912" si="129">IF(B912="","",IF(ISERROR(MATCH($E912,CL,0)),"Unknown",INDIRECT("'C'!$A$"&amp;MATCH($E912,CL,0)+1)))</f>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ref="X912" si="130">IF(AND(C912="Smelter not listed",OR(LEN(D912)=0,LEN(E912)=0)),1,0)</f>
        <v>0</v>
      </c>
      <c r="AB912" s="162" t="str">
        <f ca="1" t="shared" ref="AB912" si="131">B912&amp;C912</f>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ref="S913:S944" si="132">IF(B913="","",IF(ISERROR(MATCH($E913,CL,0)),"Unknown",INDIRECT("'C'!$A$"&amp;MATCH($E913,CL,0)+1)))</f>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ref="X913:X944" si="133">IF(AND(C913="Smelter not listed",OR(LEN(D913)=0,LEN(E913)=0)),1,0)</f>
        <v>0</v>
      </c>
      <c r="AB913" s="162" t="str">
        <f ca="1" t="shared" ref="AB913:AB944" si="134">B913&amp;C913</f>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2"/>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3"/>
        <v>0</v>
      </c>
      <c r="AB914" s="162" t="str">
        <f ca="1" t="shared" si="134"/>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2"/>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3"/>
        <v>0</v>
      </c>
      <c r="AB915" s="162" t="str">
        <f ca="1" t="shared" si="134"/>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2"/>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3"/>
        <v>0</v>
      </c>
      <c r="AB916" s="162" t="str">
        <f ca="1" t="shared" si="134"/>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2"/>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3"/>
        <v>0</v>
      </c>
      <c r="AB917" s="162" t="str">
        <f ca="1" t="shared" si="134"/>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2"/>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3"/>
        <v>0</v>
      </c>
      <c r="AB918" s="162" t="str">
        <f ca="1" t="shared" si="134"/>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2"/>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3"/>
        <v>0</v>
      </c>
      <c r="AB919" s="162" t="str">
        <f ca="1" t="shared" si="134"/>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2"/>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3"/>
        <v>0</v>
      </c>
      <c r="AB920" s="162" t="str">
        <f ca="1" t="shared" si="134"/>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2"/>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3"/>
        <v>0</v>
      </c>
      <c r="AB921" s="162" t="str">
        <f ca="1" t="shared" si="134"/>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2"/>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3"/>
        <v>0</v>
      </c>
      <c r="AB922" s="162" t="str">
        <f ca="1" t="shared" si="134"/>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2"/>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3"/>
        <v>0</v>
      </c>
      <c r="AB923" s="162" t="str">
        <f ca="1" t="shared" si="134"/>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2"/>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3"/>
        <v>0</v>
      </c>
      <c r="AB924" s="162" t="str">
        <f ca="1" t="shared" si="134"/>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2"/>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3"/>
        <v>0</v>
      </c>
      <c r="AB925" s="162" t="str">
        <f ca="1" t="shared" si="134"/>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2"/>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3"/>
        <v>0</v>
      </c>
      <c r="AB926" s="162" t="str">
        <f ca="1" t="shared" si="134"/>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2"/>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3"/>
        <v>0</v>
      </c>
      <c r="AB927" s="162" t="str">
        <f ca="1" t="shared" si="134"/>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2"/>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3"/>
        <v>0</v>
      </c>
      <c r="AB928" s="162" t="str">
        <f ca="1" t="shared" si="134"/>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2"/>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3"/>
        <v>0</v>
      </c>
      <c r="AB929" s="162" t="str">
        <f ca="1" t="shared" si="134"/>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2"/>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3"/>
        <v>0</v>
      </c>
      <c r="AB930" s="162" t="str">
        <f ca="1" t="shared" si="134"/>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2"/>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3"/>
        <v>0</v>
      </c>
      <c r="AB931" s="162" t="str">
        <f ca="1" t="shared" si="134"/>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2"/>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3"/>
        <v>0</v>
      </c>
      <c r="AB932" s="162" t="str">
        <f ca="1" t="shared" si="134"/>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2"/>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3"/>
        <v>0</v>
      </c>
      <c r="AB933" s="162" t="str">
        <f ca="1" t="shared" si="134"/>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2"/>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3"/>
        <v>0</v>
      </c>
      <c r="AB934" s="162" t="str">
        <f ca="1" t="shared" si="134"/>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2"/>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3"/>
        <v>0</v>
      </c>
      <c r="AB935" s="162" t="str">
        <f ca="1" t="shared" si="134"/>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2"/>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3"/>
        <v>0</v>
      </c>
      <c r="AB936" s="162" t="str">
        <f ca="1" t="shared" si="134"/>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2"/>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3"/>
        <v>0</v>
      </c>
      <c r="AB937" s="162" t="str">
        <f ca="1" t="shared" si="134"/>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2"/>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3"/>
        <v>0</v>
      </c>
      <c r="AB938" s="162" t="str">
        <f ca="1" t="shared" si="134"/>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2"/>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3"/>
        <v>0</v>
      </c>
      <c r="AB939" s="162" t="str">
        <f ca="1" t="shared" si="134"/>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2"/>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3"/>
        <v>0</v>
      </c>
      <c r="AB940" s="162" t="str">
        <f ca="1" t="shared" si="134"/>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2"/>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3"/>
        <v>0</v>
      </c>
      <c r="AB941" s="162" t="str">
        <f ca="1" t="shared" si="134"/>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2"/>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3"/>
        <v>0</v>
      </c>
      <c r="AB942" s="162" t="str">
        <f ca="1" t="shared" si="134"/>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2"/>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3"/>
        <v>0</v>
      </c>
      <c r="AB943" s="162" t="str">
        <f ca="1" t="shared" si="134"/>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2"/>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3"/>
        <v>0</v>
      </c>
      <c r="AB944" s="162" t="str">
        <f ca="1" t="shared" si="134"/>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ref="S945:S975" si="135">IF(B945="","",IF(ISERROR(MATCH($E945,CL,0)),"Unknown",INDIRECT("'C'!$A$"&amp;MATCH($E945,CL,0)+1)))</f>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ref="X945:X975" si="136">IF(AND(C945="Smelter not listed",OR(LEN(D945)=0,LEN(E945)=0)),1,0)</f>
        <v>0</v>
      </c>
      <c r="AB945" s="162" t="str">
        <f ca="1" t="shared" ref="AB945:AB975" si="137">B945&amp;C945</f>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5"/>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6"/>
        <v>0</v>
      </c>
      <c r="AB946" s="162" t="str">
        <f ca="1" t="shared" si="137"/>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5"/>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6"/>
        <v>0</v>
      </c>
      <c r="AB947" s="162" t="str">
        <f ca="1" t="shared" si="137"/>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5"/>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6"/>
        <v>0</v>
      </c>
      <c r="AB948" s="162" t="str">
        <f ca="1" t="shared" si="137"/>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5"/>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6"/>
        <v>0</v>
      </c>
      <c r="AB949" s="162" t="str">
        <f ca="1" t="shared" si="137"/>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5"/>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6"/>
        <v>0</v>
      </c>
      <c r="AB950" s="162" t="str">
        <f ca="1" t="shared" si="137"/>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5"/>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6"/>
        <v>0</v>
      </c>
      <c r="AB951" s="162" t="str">
        <f ca="1" t="shared" si="137"/>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5"/>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6"/>
        <v>0</v>
      </c>
      <c r="AB952" s="162" t="str">
        <f ca="1" t="shared" si="137"/>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5"/>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6"/>
        <v>0</v>
      </c>
      <c r="AB953" s="162" t="str">
        <f ca="1" t="shared" si="137"/>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5"/>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6"/>
        <v>0</v>
      </c>
      <c r="AB954" s="162" t="str">
        <f ca="1" t="shared" si="137"/>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5"/>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6"/>
        <v>0</v>
      </c>
      <c r="AB955" s="162" t="str">
        <f ca="1" t="shared" si="137"/>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5"/>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6"/>
        <v>0</v>
      </c>
      <c r="AB956" s="162" t="str">
        <f ca="1" t="shared" si="137"/>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5"/>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6"/>
        <v>0</v>
      </c>
      <c r="AB957" s="162" t="str">
        <f ca="1" t="shared" si="137"/>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5"/>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6"/>
        <v>0</v>
      </c>
      <c r="AB958" s="162" t="str">
        <f ca="1" t="shared" si="137"/>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5"/>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6"/>
        <v>0</v>
      </c>
      <c r="AB959" s="162" t="str">
        <f ca="1" t="shared" si="137"/>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5"/>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6"/>
        <v>0</v>
      </c>
      <c r="AB960" s="162" t="str">
        <f ca="1" t="shared" si="137"/>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5"/>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6"/>
        <v>0</v>
      </c>
      <c r="AB961" s="162" t="str">
        <f ca="1" t="shared" si="137"/>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5"/>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6"/>
        <v>0</v>
      </c>
      <c r="AB962" s="162" t="str">
        <f ca="1" t="shared" si="137"/>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5"/>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6"/>
        <v>0</v>
      </c>
      <c r="AB963" s="162" t="str">
        <f ca="1" t="shared" si="137"/>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5"/>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6"/>
        <v>0</v>
      </c>
      <c r="AB964" s="162" t="str">
        <f ca="1" t="shared" si="137"/>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5"/>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6"/>
        <v>0</v>
      </c>
      <c r="AB965" s="162" t="str">
        <f ca="1" t="shared" si="137"/>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5"/>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6"/>
        <v>0</v>
      </c>
      <c r="AB966" s="162" t="str">
        <f ca="1" t="shared" si="137"/>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5"/>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6"/>
        <v>0</v>
      </c>
      <c r="AB967" s="162" t="str">
        <f ca="1" t="shared" si="137"/>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5"/>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6"/>
        <v>0</v>
      </c>
      <c r="AB968" s="162" t="str">
        <f ca="1" t="shared" si="137"/>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5"/>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6"/>
        <v>0</v>
      </c>
      <c r="AB969" s="162" t="str">
        <f ca="1" t="shared" si="137"/>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5"/>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6"/>
        <v>0</v>
      </c>
      <c r="AB970" s="162" t="str">
        <f ca="1" t="shared" si="137"/>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5"/>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6"/>
        <v>0</v>
      </c>
      <c r="AB971" s="162" t="str">
        <f ca="1" t="shared" si="137"/>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5"/>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6"/>
        <v>0</v>
      </c>
      <c r="AB972" s="162" t="str">
        <f ca="1" t="shared" si="137"/>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5"/>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6"/>
        <v>0</v>
      </c>
      <c r="AB973" s="162" t="str">
        <f ca="1" t="shared" si="137"/>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5"/>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6"/>
        <v>0</v>
      </c>
      <c r="AB974" s="162" t="str">
        <f ca="1" t="shared" si="137"/>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5"/>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6"/>
        <v>0</v>
      </c>
      <c r="AB975" s="162" t="str">
        <f ca="1" t="shared" si="137"/>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ref="S976" si="138">IF(B976="","",IF(ISERROR(MATCH($E976,CL,0)),"Unknown",INDIRECT("'C'!$A$"&amp;MATCH($E976,CL,0)+1)))</f>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ref="X976" si="139">IF(AND(C976="Smelter not listed",OR(LEN(D976)=0,LEN(E976)=0)),1,0)</f>
        <v>0</v>
      </c>
      <c r="AB976" s="162" t="str">
        <f ca="1" t="shared" ref="AB976" si="140">B976&amp;C976</f>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ref="S977:S1008" si="141">IF(B977="","",IF(ISERROR(MATCH($E977,CL,0)),"Unknown",INDIRECT("'C'!$A$"&amp;MATCH($E977,CL,0)+1)))</f>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ref="X977:X1008" si="142">IF(AND(C977="Smelter not listed",OR(LEN(D977)=0,LEN(E977)=0)),1,0)</f>
        <v>0</v>
      </c>
      <c r="AB977" s="162" t="str">
        <f ca="1" t="shared" ref="AB977:AB1008" si="143">B977&amp;C977</f>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41"/>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2"/>
        <v>0</v>
      </c>
      <c r="AB978" s="162" t="str">
        <f ca="1" t="shared" si="143"/>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41"/>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2"/>
        <v>0</v>
      </c>
      <c r="AB979" s="162" t="str">
        <f ca="1" t="shared" si="143"/>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41"/>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2"/>
        <v>0</v>
      </c>
      <c r="AB980" s="162" t="str">
        <f ca="1" t="shared" si="143"/>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41"/>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2"/>
        <v>0</v>
      </c>
      <c r="AB981" s="162" t="str">
        <f ca="1" t="shared" si="143"/>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41"/>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2"/>
        <v>0</v>
      </c>
      <c r="AB982" s="162" t="str">
        <f ca="1" t="shared" si="143"/>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41"/>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2"/>
        <v>0</v>
      </c>
      <c r="AB983" s="162" t="str">
        <f ca="1" t="shared" si="143"/>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41"/>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2"/>
        <v>0</v>
      </c>
      <c r="AB984" s="162" t="str">
        <f ca="1" t="shared" si="143"/>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1"/>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2"/>
        <v>0</v>
      </c>
      <c r="AB985" s="162" t="str">
        <f ca="1" t="shared" si="143"/>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1"/>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2"/>
        <v>0</v>
      </c>
      <c r="AB986" s="162" t="str">
        <f ca="1" t="shared" si="143"/>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1"/>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2"/>
        <v>0</v>
      </c>
      <c r="AB987" s="162" t="str">
        <f ca="1" t="shared" si="143"/>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1"/>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2"/>
        <v>0</v>
      </c>
      <c r="AB988" s="162" t="str">
        <f ca="1" t="shared" si="143"/>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1"/>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2"/>
        <v>0</v>
      </c>
      <c r="AB989" s="162" t="str">
        <f ca="1" t="shared" si="143"/>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1"/>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2"/>
        <v>0</v>
      </c>
      <c r="AB990" s="162" t="str">
        <f ca="1" t="shared" si="143"/>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1"/>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2"/>
        <v>0</v>
      </c>
      <c r="AB991" s="162" t="str">
        <f ca="1" t="shared" si="143"/>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1"/>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2"/>
        <v>0</v>
      </c>
      <c r="AB992" s="162" t="str">
        <f ca="1" t="shared" si="143"/>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1"/>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2"/>
        <v>0</v>
      </c>
      <c r="AB993" s="162" t="str">
        <f ca="1" t="shared" si="143"/>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1"/>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2"/>
        <v>0</v>
      </c>
      <c r="AB994" s="162" t="str">
        <f ca="1" t="shared" si="143"/>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1"/>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2"/>
        <v>0</v>
      </c>
      <c r="AB995" s="162" t="str">
        <f ca="1" t="shared" si="143"/>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1"/>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2"/>
        <v>0</v>
      </c>
      <c r="AB996" s="162" t="str">
        <f ca="1" t="shared" si="143"/>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1"/>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2"/>
        <v>0</v>
      </c>
      <c r="AB997" s="162" t="str">
        <f ca="1" t="shared" si="143"/>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1"/>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2"/>
        <v>0</v>
      </c>
      <c r="AB998" s="162" t="str">
        <f ca="1" t="shared" si="143"/>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1"/>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2"/>
        <v>0</v>
      </c>
      <c r="AB999" s="162" t="str">
        <f ca="1" t="shared" si="143"/>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1"/>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2"/>
        <v>0</v>
      </c>
      <c r="AB1000" s="162" t="str">
        <f ca="1" t="shared" si="143"/>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1"/>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2"/>
        <v>0</v>
      </c>
      <c r="AB1001" s="162" t="str">
        <f ca="1" t="shared" si="143"/>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1"/>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2"/>
        <v>0</v>
      </c>
      <c r="AB1002" s="162" t="str">
        <f ca="1" t="shared" si="143"/>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1"/>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2"/>
        <v>0</v>
      </c>
      <c r="AB1003" s="162" t="str">
        <f ca="1" t="shared" si="143"/>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1"/>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2"/>
        <v>0</v>
      </c>
      <c r="AB1004" s="162" t="str">
        <f ca="1" t="shared" si="143"/>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1"/>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2"/>
        <v>0</v>
      </c>
      <c r="AB1005" s="162" t="str">
        <f ca="1" t="shared" si="143"/>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1"/>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2"/>
        <v>0</v>
      </c>
      <c r="AB1006" s="162" t="str">
        <f ca="1" t="shared" si="143"/>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1"/>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2"/>
        <v>0</v>
      </c>
      <c r="AB1007" s="162" t="str">
        <f ca="1" t="shared" si="143"/>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1"/>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2"/>
        <v>0</v>
      </c>
      <c r="AB1008" s="162" t="str">
        <f ca="1" t="shared" si="143"/>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ref="S1009:S1039" si="144">IF(B1009="","",IF(ISERROR(MATCH($E1009,CL,0)),"Unknown",INDIRECT("'C'!$A$"&amp;MATCH($E1009,CL,0)+1)))</f>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ref="X1009:X1039" si="145">IF(AND(C1009="Smelter not listed",OR(LEN(D1009)=0,LEN(E1009)=0)),1,0)</f>
        <v>0</v>
      </c>
      <c r="AB1009" s="162" t="str">
        <f ca="1" t="shared" ref="AB1009:AB1039" si="146">B1009&amp;C1009</f>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4"/>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5"/>
        <v>0</v>
      </c>
      <c r="AB1010" s="162" t="str">
        <f ca="1" t="shared" si="146"/>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4"/>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5"/>
        <v>0</v>
      </c>
      <c r="AB1011" s="162" t="str">
        <f ca="1" t="shared" si="146"/>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4"/>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5"/>
        <v>0</v>
      </c>
      <c r="AB1012" s="162" t="str">
        <f ca="1" t="shared" si="146"/>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4"/>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5"/>
        <v>0</v>
      </c>
      <c r="AB1013" s="162" t="str">
        <f ca="1" t="shared" si="146"/>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4"/>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5"/>
        <v>0</v>
      </c>
      <c r="AB1014" s="162" t="str">
        <f ca="1" t="shared" si="146"/>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4"/>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5"/>
        <v>0</v>
      </c>
      <c r="AB1015" s="162" t="str">
        <f ca="1" t="shared" si="146"/>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4"/>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5"/>
        <v>0</v>
      </c>
      <c r="AB1016" s="162" t="str">
        <f ca="1" t="shared" si="146"/>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4"/>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5"/>
        <v>0</v>
      </c>
      <c r="AB1017" s="162" t="str">
        <f ca="1" t="shared" si="146"/>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4"/>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5"/>
        <v>0</v>
      </c>
      <c r="AB1018" s="162" t="str">
        <f ca="1" t="shared" si="146"/>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4"/>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5"/>
        <v>0</v>
      </c>
      <c r="AB1019" s="162" t="str">
        <f ca="1" t="shared" si="146"/>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4"/>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5"/>
        <v>0</v>
      </c>
      <c r="AB1020" s="162" t="str">
        <f ca="1" t="shared" si="146"/>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4"/>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5"/>
        <v>0</v>
      </c>
      <c r="AB1021" s="162" t="str">
        <f ca="1" t="shared" si="146"/>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4"/>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5"/>
        <v>0</v>
      </c>
      <c r="AB1022" s="162" t="str">
        <f ca="1" t="shared" si="146"/>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4"/>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5"/>
        <v>0</v>
      </c>
      <c r="AB1023" s="162" t="str">
        <f ca="1" t="shared" si="146"/>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4"/>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5"/>
        <v>0</v>
      </c>
      <c r="AB1024" s="162" t="str">
        <f ca="1" t="shared" si="146"/>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4"/>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5"/>
        <v>0</v>
      </c>
      <c r="AB1025" s="162" t="str">
        <f ca="1" t="shared" si="146"/>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4"/>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5"/>
        <v>0</v>
      </c>
      <c r="AB1026" s="162" t="str">
        <f ca="1" t="shared" si="146"/>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4"/>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5"/>
        <v>0</v>
      </c>
      <c r="AB1027" s="162" t="str">
        <f ca="1" t="shared" si="146"/>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4"/>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5"/>
        <v>0</v>
      </c>
      <c r="AB1028" s="162" t="str">
        <f ca="1" t="shared" si="146"/>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4"/>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5"/>
        <v>0</v>
      </c>
      <c r="AB1029" s="162" t="str">
        <f ca="1" t="shared" si="146"/>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4"/>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5"/>
        <v>0</v>
      </c>
      <c r="AB1030" s="162" t="str">
        <f ca="1" t="shared" si="146"/>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4"/>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5"/>
        <v>0</v>
      </c>
      <c r="AB1031" s="162" t="str">
        <f ca="1" t="shared" si="146"/>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4"/>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5"/>
        <v>0</v>
      </c>
      <c r="AB1032" s="162" t="str">
        <f ca="1" t="shared" si="146"/>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4"/>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5"/>
        <v>0</v>
      </c>
      <c r="AB1033" s="162" t="str">
        <f ca="1" t="shared" si="146"/>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4"/>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5"/>
        <v>0</v>
      </c>
      <c r="AB1034" s="162" t="str">
        <f ca="1" t="shared" si="146"/>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4"/>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5"/>
        <v>0</v>
      </c>
      <c r="AB1035" s="162" t="str">
        <f ca="1" t="shared" si="146"/>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4"/>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5"/>
        <v>0</v>
      </c>
      <c r="AB1036" s="162" t="str">
        <f ca="1" t="shared" si="146"/>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4"/>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5"/>
        <v>0</v>
      </c>
      <c r="AB1037" s="162" t="str">
        <f ca="1" t="shared" si="146"/>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4"/>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5"/>
        <v>0</v>
      </c>
      <c r="AB1038" s="162" t="str">
        <f ca="1" t="shared" si="146"/>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4"/>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5"/>
        <v>0</v>
      </c>
      <c r="AB1039" s="162" t="str">
        <f ca="1" t="shared" si="146"/>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ref="S1040" si="147">IF(B1040="","",IF(ISERROR(MATCH($E1040,CL,0)),"Unknown",INDIRECT("'C'!$A$"&amp;MATCH($E1040,CL,0)+1)))</f>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ref="X1040" si="148">IF(AND(C1040="Smelter not listed",OR(LEN(D1040)=0,LEN(E1040)=0)),1,0)</f>
        <v>0</v>
      </c>
      <c r="AB1040" s="162" t="str">
        <f ca="1" t="shared" ref="AB1040" si="149">B1040&amp;C1040</f>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ref="S1041:S1072" si="150">IF(B1041="","",IF(ISERROR(MATCH($E1041,CL,0)),"Unknown",INDIRECT("'C'!$A$"&amp;MATCH($E1041,CL,0)+1)))</f>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ref="X1041:X1072" si="151">IF(AND(C1041="Smelter not listed",OR(LEN(D1041)=0,LEN(E1041)=0)),1,0)</f>
        <v>0</v>
      </c>
      <c r="AB1041" s="162" t="str">
        <f ca="1" t="shared" ref="AB1041:AB1072" si="152">B1041&amp;C1041</f>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50"/>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51"/>
        <v>0</v>
      </c>
      <c r="AB1042" s="162" t="str">
        <f ca="1" t="shared" si="152"/>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50"/>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51"/>
        <v>0</v>
      </c>
      <c r="AB1043" s="162" t="str">
        <f ca="1" t="shared" si="152"/>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50"/>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51"/>
        <v>0</v>
      </c>
      <c r="AB1044" s="162" t="str">
        <f ca="1" t="shared" si="152"/>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50"/>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51"/>
        <v>0</v>
      </c>
      <c r="AB1045" s="162" t="str">
        <f ca="1" t="shared" si="152"/>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50"/>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51"/>
        <v>0</v>
      </c>
      <c r="AB1046" s="162" t="str">
        <f ca="1" t="shared" si="152"/>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50"/>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51"/>
        <v>0</v>
      </c>
      <c r="AB1047" s="162" t="str">
        <f ca="1" t="shared" si="152"/>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50"/>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51"/>
        <v>0</v>
      </c>
      <c r="AB1048" s="162" t="str">
        <f ca="1" t="shared" si="152"/>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0"/>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1"/>
        <v>0</v>
      </c>
      <c r="AB1049" s="162" t="str">
        <f ca="1" t="shared" si="152"/>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0"/>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1"/>
        <v>0</v>
      </c>
      <c r="AB1050" s="162" t="str">
        <f ca="1" t="shared" si="152"/>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0"/>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1"/>
        <v>0</v>
      </c>
      <c r="AB1051" s="162" t="str">
        <f ca="1" t="shared" si="152"/>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0"/>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1"/>
        <v>0</v>
      </c>
      <c r="AB1052" s="162" t="str">
        <f ca="1" t="shared" si="152"/>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0"/>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1"/>
        <v>0</v>
      </c>
      <c r="AB1053" s="162" t="str">
        <f ca="1" t="shared" si="152"/>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0"/>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1"/>
        <v>0</v>
      </c>
      <c r="AB1054" s="162" t="str">
        <f ca="1" t="shared" si="152"/>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0"/>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1"/>
        <v>0</v>
      </c>
      <c r="AB1055" s="162" t="str">
        <f ca="1" t="shared" si="152"/>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0"/>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1"/>
        <v>0</v>
      </c>
      <c r="AB1056" s="162" t="str">
        <f ca="1" t="shared" si="152"/>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0"/>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1"/>
        <v>0</v>
      </c>
      <c r="AB1057" s="162" t="str">
        <f ca="1" t="shared" si="152"/>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0"/>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1"/>
        <v>0</v>
      </c>
      <c r="AB1058" s="162" t="str">
        <f ca="1" t="shared" si="152"/>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0"/>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1"/>
        <v>0</v>
      </c>
      <c r="AB1059" s="162" t="str">
        <f ca="1" t="shared" si="152"/>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0"/>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1"/>
        <v>0</v>
      </c>
      <c r="AB1060" s="162" t="str">
        <f ca="1" t="shared" si="152"/>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0"/>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1"/>
        <v>0</v>
      </c>
      <c r="AB1061" s="162" t="str">
        <f ca="1" t="shared" si="152"/>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0"/>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1"/>
        <v>0</v>
      </c>
      <c r="AB1062" s="162" t="str">
        <f ca="1" t="shared" si="152"/>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0"/>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1"/>
        <v>0</v>
      </c>
      <c r="AB1063" s="162" t="str">
        <f ca="1" t="shared" si="152"/>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0"/>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1"/>
        <v>0</v>
      </c>
      <c r="AB1064" s="162" t="str">
        <f ca="1" t="shared" si="152"/>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0"/>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1"/>
        <v>0</v>
      </c>
      <c r="AB1065" s="162" t="str">
        <f ca="1" t="shared" si="152"/>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0"/>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1"/>
        <v>0</v>
      </c>
      <c r="AB1066" s="162" t="str">
        <f ca="1" t="shared" si="152"/>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0"/>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1"/>
        <v>0</v>
      </c>
      <c r="AB1067" s="162" t="str">
        <f ca="1" t="shared" si="152"/>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0"/>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1"/>
        <v>0</v>
      </c>
      <c r="AB1068" s="162" t="str">
        <f ca="1" t="shared" si="152"/>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0"/>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1"/>
        <v>0</v>
      </c>
      <c r="AB1069" s="162" t="str">
        <f ca="1" t="shared" si="152"/>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0"/>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1"/>
        <v>0</v>
      </c>
      <c r="AB1070" s="162" t="str">
        <f ca="1" t="shared" si="152"/>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0"/>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1"/>
        <v>0</v>
      </c>
      <c r="AB1071" s="162" t="str">
        <f ca="1" t="shared" si="152"/>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0"/>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1"/>
        <v>0</v>
      </c>
      <c r="AB1072" s="162" t="str">
        <f ca="1" t="shared" si="152"/>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ref="S1073:S1103" si="153">IF(B1073="","",IF(ISERROR(MATCH($E1073,CL,0)),"Unknown",INDIRECT("'C'!$A$"&amp;MATCH($E1073,CL,0)+1)))</f>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ref="X1073:X1103" si="154">IF(AND(C1073="Smelter not listed",OR(LEN(D1073)=0,LEN(E1073)=0)),1,0)</f>
        <v>0</v>
      </c>
      <c r="AB1073" s="162" t="str">
        <f ca="1" t="shared" ref="AB1073:AB1103" si="155">B1073&amp;C1073</f>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3"/>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4"/>
        <v>0</v>
      </c>
      <c r="AB1074" s="162" t="str">
        <f ca="1" t="shared" si="155"/>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3"/>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4"/>
        <v>0</v>
      </c>
      <c r="AB1075" s="162" t="str">
        <f ca="1" t="shared" si="155"/>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3"/>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4"/>
        <v>0</v>
      </c>
      <c r="AB1076" s="162" t="str">
        <f ca="1" t="shared" si="155"/>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3"/>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4"/>
        <v>0</v>
      </c>
      <c r="AB1077" s="162" t="str">
        <f ca="1" t="shared" si="155"/>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3"/>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4"/>
        <v>0</v>
      </c>
      <c r="AB1078" s="162" t="str">
        <f ca="1" t="shared" si="155"/>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3"/>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4"/>
        <v>0</v>
      </c>
      <c r="AB1079" s="162" t="str">
        <f ca="1" t="shared" si="155"/>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3"/>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4"/>
        <v>0</v>
      </c>
      <c r="AB1080" s="162" t="str">
        <f ca="1" t="shared" si="155"/>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3"/>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4"/>
        <v>0</v>
      </c>
      <c r="AB1081" s="162" t="str">
        <f ca="1" t="shared" si="155"/>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3"/>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4"/>
        <v>0</v>
      </c>
      <c r="AB1082" s="162" t="str">
        <f ca="1" t="shared" si="155"/>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3"/>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4"/>
        <v>0</v>
      </c>
      <c r="AB1083" s="162" t="str">
        <f ca="1" t="shared" si="155"/>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3"/>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4"/>
        <v>0</v>
      </c>
      <c r="AB1084" s="162" t="str">
        <f ca="1" t="shared" si="155"/>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3"/>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4"/>
        <v>0</v>
      </c>
      <c r="AB1085" s="162" t="str">
        <f ca="1" t="shared" si="155"/>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3"/>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4"/>
        <v>0</v>
      </c>
      <c r="AB1086" s="162" t="str">
        <f ca="1" t="shared" si="155"/>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3"/>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4"/>
        <v>0</v>
      </c>
      <c r="AB1087" s="162" t="str">
        <f ca="1" t="shared" si="155"/>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3"/>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4"/>
        <v>0</v>
      </c>
      <c r="AB1088" s="162" t="str">
        <f ca="1" t="shared" si="155"/>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3"/>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4"/>
        <v>0</v>
      </c>
      <c r="AB1089" s="162" t="str">
        <f ca="1" t="shared" si="155"/>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3"/>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4"/>
        <v>0</v>
      </c>
      <c r="AB1090" s="162" t="str">
        <f ca="1" t="shared" si="155"/>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3"/>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4"/>
        <v>0</v>
      </c>
      <c r="AB1091" s="162" t="str">
        <f ca="1" t="shared" si="155"/>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3"/>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4"/>
        <v>0</v>
      </c>
      <c r="AB1092" s="162" t="str">
        <f ca="1" t="shared" si="155"/>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3"/>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4"/>
        <v>0</v>
      </c>
      <c r="AB1093" s="162" t="str">
        <f ca="1" t="shared" si="155"/>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3"/>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4"/>
        <v>0</v>
      </c>
      <c r="AB1094" s="162" t="str">
        <f ca="1" t="shared" si="155"/>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3"/>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4"/>
        <v>0</v>
      </c>
      <c r="AB1095" s="162" t="str">
        <f ca="1" t="shared" si="155"/>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3"/>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4"/>
        <v>0</v>
      </c>
      <c r="AB1096" s="162" t="str">
        <f ca="1" t="shared" si="155"/>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3"/>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4"/>
        <v>0</v>
      </c>
      <c r="AB1097" s="162" t="str">
        <f ca="1" t="shared" si="155"/>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3"/>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4"/>
        <v>0</v>
      </c>
      <c r="AB1098" s="162" t="str">
        <f ca="1" t="shared" si="155"/>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3"/>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4"/>
        <v>0</v>
      </c>
      <c r="AB1099" s="162" t="str">
        <f ca="1" t="shared" si="155"/>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3"/>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4"/>
        <v>0</v>
      </c>
      <c r="AB1100" s="162" t="str">
        <f ca="1" t="shared" si="155"/>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3"/>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4"/>
        <v>0</v>
      </c>
      <c r="AB1101" s="162" t="str">
        <f ca="1" t="shared" si="155"/>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3"/>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4"/>
        <v>0</v>
      </c>
      <c r="AB1102" s="162" t="str">
        <f ca="1" t="shared" si="155"/>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3"/>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4"/>
        <v>0</v>
      </c>
      <c r="AB1103" s="162" t="str">
        <f ca="1" t="shared" si="155"/>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ref="S1104" si="156">IF(B1104="","",IF(ISERROR(MATCH($E1104,CL,0)),"Unknown",INDIRECT("'C'!$A$"&amp;MATCH($E1104,CL,0)+1)))</f>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ref="X1104" si="157">IF(AND(C1104="Smelter not listed",OR(LEN(D1104)=0,LEN(E1104)=0)),1,0)</f>
        <v>0</v>
      </c>
      <c r="AB1104" s="162" t="str">
        <f ca="1" t="shared" ref="AB1104" si="158">B1104&amp;C1104</f>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ref="S1105:S1136" si="159">IF(B1105="","",IF(ISERROR(MATCH($E1105,CL,0)),"Unknown",INDIRECT("'C'!$A$"&amp;MATCH($E1105,CL,0)+1)))</f>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ref="X1105:X1136" si="160">IF(AND(C1105="Smelter not listed",OR(LEN(D1105)=0,LEN(E1105)=0)),1,0)</f>
        <v>0</v>
      </c>
      <c r="AB1105" s="162" t="str">
        <f ca="1" t="shared" ref="AB1105:AB1136" si="161">B1105&amp;C1105</f>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9"/>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60"/>
        <v>0</v>
      </c>
      <c r="AB1106" s="162" t="str">
        <f ca="1" t="shared" si="161"/>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9"/>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60"/>
        <v>0</v>
      </c>
      <c r="AB1107" s="162" t="str">
        <f ca="1" t="shared" si="161"/>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9"/>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60"/>
        <v>0</v>
      </c>
      <c r="AB1108" s="162" t="str">
        <f ca="1" t="shared" si="161"/>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9"/>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60"/>
        <v>0</v>
      </c>
      <c r="AB1109" s="162" t="str">
        <f ca="1" t="shared" si="161"/>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9"/>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60"/>
        <v>0</v>
      </c>
      <c r="AB1110" s="162" t="str">
        <f ca="1" t="shared" si="161"/>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9"/>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60"/>
        <v>0</v>
      </c>
      <c r="AB1111" s="162" t="str">
        <f ca="1" t="shared" si="161"/>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9"/>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60"/>
        <v>0</v>
      </c>
      <c r="AB1112" s="162" t="str">
        <f ca="1" t="shared" si="161"/>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9"/>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0"/>
        <v>0</v>
      </c>
      <c r="AB1113" s="162" t="str">
        <f ca="1" t="shared" si="161"/>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9"/>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0"/>
        <v>0</v>
      </c>
      <c r="AB1114" s="162" t="str">
        <f ca="1" t="shared" si="161"/>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9"/>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0"/>
        <v>0</v>
      </c>
      <c r="AB1115" s="162" t="str">
        <f ca="1" t="shared" si="161"/>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9"/>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0"/>
        <v>0</v>
      </c>
      <c r="AB1116" s="162" t="str">
        <f ca="1" t="shared" si="161"/>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9"/>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0"/>
        <v>0</v>
      </c>
      <c r="AB1117" s="162" t="str">
        <f ca="1" t="shared" si="161"/>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9"/>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0"/>
        <v>0</v>
      </c>
      <c r="AB1118" s="162" t="str">
        <f ca="1" t="shared" si="161"/>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9"/>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0"/>
        <v>0</v>
      </c>
      <c r="AB1119" s="162" t="str">
        <f ca="1" t="shared" si="161"/>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9"/>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0"/>
        <v>0</v>
      </c>
      <c r="AB1120" s="162" t="str">
        <f ca="1" t="shared" si="161"/>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9"/>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0"/>
        <v>0</v>
      </c>
      <c r="AB1121" s="162" t="str">
        <f ca="1" t="shared" si="161"/>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9"/>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0"/>
        <v>0</v>
      </c>
      <c r="AB1122" s="162" t="str">
        <f ca="1" t="shared" si="161"/>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9"/>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0"/>
        <v>0</v>
      </c>
      <c r="AB1123" s="162" t="str">
        <f ca="1" t="shared" si="161"/>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9"/>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0"/>
        <v>0</v>
      </c>
      <c r="AB1124" s="162" t="str">
        <f ca="1" t="shared" si="161"/>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9"/>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0"/>
        <v>0</v>
      </c>
      <c r="AB1125" s="162" t="str">
        <f ca="1" t="shared" si="161"/>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9"/>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0"/>
        <v>0</v>
      </c>
      <c r="AB1126" s="162" t="str">
        <f ca="1" t="shared" si="161"/>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9"/>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0"/>
        <v>0</v>
      </c>
      <c r="AB1127" s="162" t="str">
        <f ca="1" t="shared" si="161"/>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9"/>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0"/>
        <v>0</v>
      </c>
      <c r="AB1128" s="162" t="str">
        <f ca="1" t="shared" si="161"/>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9"/>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0"/>
        <v>0</v>
      </c>
      <c r="AB1129" s="162" t="str">
        <f ca="1" t="shared" si="161"/>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9"/>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0"/>
        <v>0</v>
      </c>
      <c r="AB1130" s="162" t="str">
        <f ca="1" t="shared" si="161"/>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9"/>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0"/>
        <v>0</v>
      </c>
      <c r="AB1131" s="162" t="str">
        <f ca="1" t="shared" si="161"/>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9"/>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0"/>
        <v>0</v>
      </c>
      <c r="AB1132" s="162" t="str">
        <f ca="1" t="shared" si="161"/>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9"/>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0"/>
        <v>0</v>
      </c>
      <c r="AB1133" s="162" t="str">
        <f ca="1" t="shared" si="161"/>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9"/>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0"/>
        <v>0</v>
      </c>
      <c r="AB1134" s="162" t="str">
        <f ca="1" t="shared" si="161"/>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9"/>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0"/>
        <v>0</v>
      </c>
      <c r="AB1135" s="162" t="str">
        <f ca="1" t="shared" si="161"/>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9"/>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0"/>
        <v>0</v>
      </c>
      <c r="AB1136" s="162" t="str">
        <f ca="1" t="shared" si="161"/>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ref="S1137:S1167" si="162">IF(B1137="","",IF(ISERROR(MATCH($E1137,CL,0)),"Unknown",INDIRECT("'C'!$A$"&amp;MATCH($E1137,CL,0)+1)))</f>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ref="X1137:X1167" si="163">IF(AND(C1137="Smelter not listed",OR(LEN(D1137)=0,LEN(E1137)=0)),1,0)</f>
        <v>0</v>
      </c>
      <c r="AB1137" s="162" t="str">
        <f ca="1" t="shared" ref="AB1137:AB1167" si="164">B1137&amp;C1137</f>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2"/>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3"/>
        <v>0</v>
      </c>
      <c r="AB1138" s="162" t="str">
        <f ca="1" t="shared" si="164"/>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2"/>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3"/>
        <v>0</v>
      </c>
      <c r="AB1139" s="162" t="str">
        <f ca="1" t="shared" si="164"/>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2"/>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3"/>
        <v>0</v>
      </c>
      <c r="AB1140" s="162" t="str">
        <f ca="1" t="shared" si="164"/>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2"/>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3"/>
        <v>0</v>
      </c>
      <c r="AB1141" s="162" t="str">
        <f ca="1" t="shared" si="164"/>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2"/>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3"/>
        <v>0</v>
      </c>
      <c r="AB1142" s="162" t="str">
        <f ca="1" t="shared" si="164"/>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2"/>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3"/>
        <v>0</v>
      </c>
      <c r="AB1143" s="162" t="str">
        <f ca="1" t="shared" si="164"/>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2"/>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3"/>
        <v>0</v>
      </c>
      <c r="AB1144" s="162" t="str">
        <f ca="1" t="shared" si="164"/>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2"/>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3"/>
        <v>0</v>
      </c>
      <c r="AB1145" s="162" t="str">
        <f ca="1" t="shared" si="164"/>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2"/>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3"/>
        <v>0</v>
      </c>
      <c r="AB1146" s="162" t="str">
        <f ca="1" t="shared" si="164"/>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2"/>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3"/>
        <v>0</v>
      </c>
      <c r="AB1147" s="162" t="str">
        <f ca="1" t="shared" si="164"/>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2"/>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3"/>
        <v>0</v>
      </c>
      <c r="AB1148" s="162" t="str">
        <f ca="1" t="shared" si="164"/>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2"/>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3"/>
        <v>0</v>
      </c>
      <c r="AB1149" s="162" t="str">
        <f ca="1" t="shared" si="164"/>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2"/>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3"/>
        <v>0</v>
      </c>
      <c r="AB1150" s="162" t="str">
        <f ca="1" t="shared" si="164"/>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2"/>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3"/>
        <v>0</v>
      </c>
      <c r="AB1151" s="162" t="str">
        <f ca="1" t="shared" si="164"/>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2"/>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3"/>
        <v>0</v>
      </c>
      <c r="AB1152" s="162" t="str">
        <f ca="1" t="shared" si="164"/>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2"/>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3"/>
        <v>0</v>
      </c>
      <c r="AB1153" s="162" t="str">
        <f ca="1" t="shared" si="164"/>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2"/>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3"/>
        <v>0</v>
      </c>
      <c r="AB1154" s="162" t="str">
        <f ca="1" t="shared" si="164"/>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2"/>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3"/>
        <v>0</v>
      </c>
      <c r="AB1155" s="162" t="str">
        <f ca="1" t="shared" si="164"/>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2"/>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3"/>
        <v>0</v>
      </c>
      <c r="AB1156" s="162" t="str">
        <f ca="1" t="shared" si="164"/>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2"/>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3"/>
        <v>0</v>
      </c>
      <c r="AB1157" s="162" t="str">
        <f ca="1" t="shared" si="164"/>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2"/>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3"/>
        <v>0</v>
      </c>
      <c r="AB1158" s="162" t="str">
        <f ca="1" t="shared" si="164"/>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2"/>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3"/>
        <v>0</v>
      </c>
      <c r="AB1159" s="162" t="str">
        <f ca="1" t="shared" si="164"/>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2"/>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3"/>
        <v>0</v>
      </c>
      <c r="AB1160" s="162" t="str">
        <f ca="1" t="shared" si="164"/>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2"/>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3"/>
        <v>0</v>
      </c>
      <c r="AB1161" s="162" t="str">
        <f ca="1" t="shared" si="164"/>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2"/>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3"/>
        <v>0</v>
      </c>
      <c r="AB1162" s="162" t="str">
        <f ca="1" t="shared" si="164"/>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2"/>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3"/>
        <v>0</v>
      </c>
      <c r="AB1163" s="162" t="str">
        <f ca="1" t="shared" si="164"/>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2"/>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3"/>
        <v>0</v>
      </c>
      <c r="AB1164" s="162" t="str">
        <f ca="1" t="shared" si="164"/>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2"/>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3"/>
        <v>0</v>
      </c>
      <c r="AB1165" s="162" t="str">
        <f ca="1" t="shared" si="164"/>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2"/>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3"/>
        <v>0</v>
      </c>
      <c r="AB1166" s="162" t="str">
        <f ca="1" t="shared" si="164"/>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2"/>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3"/>
        <v>0</v>
      </c>
      <c r="AB1167" s="162" t="str">
        <f ca="1" t="shared" si="164"/>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ref="S1168" si="165">IF(B1168="","",IF(ISERROR(MATCH($E1168,CL,0)),"Unknown",INDIRECT("'C'!$A$"&amp;MATCH($E1168,CL,0)+1)))</f>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ref="X1168" si="166">IF(AND(C1168="Smelter not listed",OR(LEN(D1168)=0,LEN(E1168)=0)),1,0)</f>
        <v>0</v>
      </c>
      <c r="AB1168" s="162" t="str">
        <f ca="1" t="shared" ref="AB1168" si="167">B1168&amp;C1168</f>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ref="S1169:S1200" si="168">IF(B1169="","",IF(ISERROR(MATCH($E1169,CL,0)),"Unknown",INDIRECT("'C'!$A$"&amp;MATCH($E1169,CL,0)+1)))</f>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ref="X1169:X1200" si="169">IF(AND(C1169="Smelter not listed",OR(LEN(D1169)=0,LEN(E1169)=0)),1,0)</f>
        <v>0</v>
      </c>
      <c r="AB1169" s="162" t="str">
        <f ca="1" t="shared" ref="AB1169:AB1200" si="170">B1169&amp;C1169</f>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8"/>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9"/>
        <v>0</v>
      </c>
      <c r="AB1170" s="162" t="str">
        <f ca="1" t="shared" si="170"/>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8"/>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9"/>
        <v>0</v>
      </c>
      <c r="AB1171" s="162" t="str">
        <f ca="1" t="shared" si="170"/>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8"/>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9"/>
        <v>0</v>
      </c>
      <c r="AB1172" s="162" t="str">
        <f ca="1" t="shared" si="170"/>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8"/>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9"/>
        <v>0</v>
      </c>
      <c r="AB1173" s="162" t="str">
        <f ca="1" t="shared" si="170"/>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8"/>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9"/>
        <v>0</v>
      </c>
      <c r="AB1174" s="162" t="str">
        <f ca="1" t="shared" si="170"/>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8"/>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9"/>
        <v>0</v>
      </c>
      <c r="AB1175" s="162" t="str">
        <f ca="1" t="shared" si="170"/>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8"/>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9"/>
        <v>0</v>
      </c>
      <c r="AB1176" s="162" t="str">
        <f ca="1" t="shared" si="170"/>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8"/>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9"/>
        <v>0</v>
      </c>
      <c r="AB1177" s="162" t="str">
        <f ca="1" t="shared" si="170"/>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8"/>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9"/>
        <v>0</v>
      </c>
      <c r="AB1178" s="162" t="str">
        <f ca="1" t="shared" si="170"/>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8"/>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9"/>
        <v>0</v>
      </c>
      <c r="AB1179" s="162" t="str">
        <f ca="1" t="shared" si="170"/>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8"/>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9"/>
        <v>0</v>
      </c>
      <c r="AB1180" s="162" t="str">
        <f ca="1" t="shared" si="170"/>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8"/>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9"/>
        <v>0</v>
      </c>
      <c r="AB1181" s="162" t="str">
        <f ca="1" t="shared" si="170"/>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8"/>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9"/>
        <v>0</v>
      </c>
      <c r="AB1182" s="162" t="str">
        <f ca="1" t="shared" si="170"/>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8"/>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9"/>
        <v>0</v>
      </c>
      <c r="AB1183" s="162" t="str">
        <f ca="1" t="shared" si="170"/>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8"/>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9"/>
        <v>0</v>
      </c>
      <c r="AB1184" s="162" t="str">
        <f ca="1" t="shared" si="170"/>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8"/>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9"/>
        <v>0</v>
      </c>
      <c r="AB1185" s="162" t="str">
        <f ca="1" t="shared" si="170"/>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8"/>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9"/>
        <v>0</v>
      </c>
      <c r="AB1186" s="162" t="str">
        <f ca="1" t="shared" si="170"/>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8"/>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9"/>
        <v>0</v>
      </c>
      <c r="AB1187" s="162" t="str">
        <f ca="1" t="shared" si="170"/>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8"/>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9"/>
        <v>0</v>
      </c>
      <c r="AB1188" s="162" t="str">
        <f ca="1" t="shared" si="170"/>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8"/>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9"/>
        <v>0</v>
      </c>
      <c r="AB1189" s="162" t="str">
        <f ca="1" t="shared" si="170"/>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8"/>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9"/>
        <v>0</v>
      </c>
      <c r="AB1190" s="162" t="str">
        <f ca="1" t="shared" si="170"/>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8"/>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9"/>
        <v>0</v>
      </c>
      <c r="AB1191" s="162" t="str">
        <f ca="1" t="shared" si="170"/>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8"/>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9"/>
        <v>0</v>
      </c>
      <c r="AB1192" s="162" t="str">
        <f ca="1" t="shared" si="170"/>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8"/>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9"/>
        <v>0</v>
      </c>
      <c r="AB1193" s="162" t="str">
        <f ca="1" t="shared" si="170"/>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8"/>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9"/>
        <v>0</v>
      </c>
      <c r="AB1194" s="162" t="str">
        <f ca="1" t="shared" si="170"/>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8"/>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9"/>
        <v>0</v>
      </c>
      <c r="AB1195" s="162" t="str">
        <f ca="1" t="shared" si="170"/>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8"/>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9"/>
        <v>0</v>
      </c>
      <c r="AB1196" s="162" t="str">
        <f ca="1" t="shared" si="170"/>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8"/>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9"/>
        <v>0</v>
      </c>
      <c r="AB1197" s="162" t="str">
        <f ca="1" t="shared" si="170"/>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8"/>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9"/>
        <v>0</v>
      </c>
      <c r="AB1198" s="162" t="str">
        <f ca="1" t="shared" si="170"/>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8"/>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9"/>
        <v>0</v>
      </c>
      <c r="AB1199" s="162" t="str">
        <f ca="1" t="shared" si="170"/>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8"/>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9"/>
        <v>0</v>
      </c>
      <c r="AB1200" s="162" t="str">
        <f ca="1" t="shared" si="170"/>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ref="S1201:S1231" si="171">IF(B1201="","",IF(ISERROR(MATCH($E1201,CL,0)),"Unknown",INDIRECT("'C'!$A$"&amp;MATCH($E1201,CL,0)+1)))</f>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ref="X1201:X1231" si="172">IF(AND(C1201="Smelter not listed",OR(LEN(D1201)=0,LEN(E1201)=0)),1,0)</f>
        <v>0</v>
      </c>
      <c r="AB1201" s="162" t="str">
        <f ca="1" t="shared" ref="AB1201:AB1231" si="173">B1201&amp;C1201</f>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1"/>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2"/>
        <v>0</v>
      </c>
      <c r="AB1202" s="162" t="str">
        <f ca="1" t="shared" si="173"/>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1"/>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2"/>
        <v>0</v>
      </c>
      <c r="AB1203" s="162" t="str">
        <f ca="1" t="shared" si="173"/>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1"/>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2"/>
        <v>0</v>
      </c>
      <c r="AB1204" s="162" t="str">
        <f ca="1" t="shared" si="173"/>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1"/>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2"/>
        <v>0</v>
      </c>
      <c r="AB1205" s="162" t="str">
        <f ca="1" t="shared" si="173"/>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1"/>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2"/>
        <v>0</v>
      </c>
      <c r="AB1206" s="162" t="str">
        <f ca="1" t="shared" si="173"/>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1"/>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2"/>
        <v>0</v>
      </c>
      <c r="AB1207" s="162" t="str">
        <f ca="1" t="shared" si="173"/>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1"/>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2"/>
        <v>0</v>
      </c>
      <c r="AB1208" s="162" t="str">
        <f ca="1" t="shared" si="173"/>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1"/>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2"/>
        <v>0</v>
      </c>
      <c r="AB1209" s="162" t="str">
        <f ca="1" t="shared" si="173"/>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1"/>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2"/>
        <v>0</v>
      </c>
      <c r="AB1210" s="162" t="str">
        <f ca="1" t="shared" si="173"/>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1"/>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2"/>
        <v>0</v>
      </c>
      <c r="AB1211" s="162" t="str">
        <f ca="1" t="shared" si="173"/>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1"/>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2"/>
        <v>0</v>
      </c>
      <c r="AB1212" s="162" t="str">
        <f ca="1" t="shared" si="173"/>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1"/>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2"/>
        <v>0</v>
      </c>
      <c r="AB1213" s="162" t="str">
        <f ca="1" t="shared" si="173"/>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1"/>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2"/>
        <v>0</v>
      </c>
      <c r="AB1214" s="162" t="str">
        <f ca="1" t="shared" si="173"/>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1"/>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2"/>
        <v>0</v>
      </c>
      <c r="AB1215" s="162" t="str">
        <f ca="1" t="shared" si="173"/>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1"/>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2"/>
        <v>0</v>
      </c>
      <c r="AB1216" s="162" t="str">
        <f ca="1" t="shared" si="173"/>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1"/>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2"/>
        <v>0</v>
      </c>
      <c r="AB1217" s="162" t="str">
        <f ca="1" t="shared" si="173"/>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1"/>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2"/>
        <v>0</v>
      </c>
      <c r="AB1218" s="162" t="str">
        <f ca="1" t="shared" si="173"/>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1"/>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2"/>
        <v>0</v>
      </c>
      <c r="AB1219" s="162" t="str">
        <f ca="1" t="shared" si="173"/>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1"/>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2"/>
        <v>0</v>
      </c>
      <c r="AB1220" s="162" t="str">
        <f ca="1" t="shared" si="173"/>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1"/>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2"/>
        <v>0</v>
      </c>
      <c r="AB1221" s="162" t="str">
        <f ca="1" t="shared" si="173"/>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1"/>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2"/>
        <v>0</v>
      </c>
      <c r="AB1222" s="162" t="str">
        <f ca="1" t="shared" si="173"/>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1"/>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2"/>
        <v>0</v>
      </c>
      <c r="AB1223" s="162" t="str">
        <f ca="1" t="shared" si="173"/>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1"/>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2"/>
        <v>0</v>
      </c>
      <c r="AB1224" s="162" t="str">
        <f ca="1" t="shared" si="173"/>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1"/>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2"/>
        <v>0</v>
      </c>
      <c r="AB1225" s="162" t="str">
        <f ca="1" t="shared" si="173"/>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1"/>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2"/>
        <v>0</v>
      </c>
      <c r="AB1226" s="162" t="str">
        <f ca="1" t="shared" si="173"/>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1"/>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2"/>
        <v>0</v>
      </c>
      <c r="AB1227" s="162" t="str">
        <f ca="1" t="shared" si="173"/>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1"/>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2"/>
        <v>0</v>
      </c>
      <c r="AB1228" s="162" t="str">
        <f ca="1" t="shared" si="173"/>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1"/>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2"/>
        <v>0</v>
      </c>
      <c r="AB1229" s="162" t="str">
        <f ca="1" t="shared" si="173"/>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1"/>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2"/>
        <v>0</v>
      </c>
      <c r="AB1230" s="162" t="str">
        <f ca="1" t="shared" si="173"/>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1"/>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2"/>
        <v>0</v>
      </c>
      <c r="AB1231" s="162" t="str">
        <f ca="1" t="shared" si="173"/>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ref="S1232" si="174">IF(B1232="","",IF(ISERROR(MATCH($E1232,CL,0)),"Unknown",INDIRECT("'C'!$A$"&amp;MATCH($E1232,CL,0)+1)))</f>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ref="X1232" si="175">IF(AND(C1232="Smelter not listed",OR(LEN(D1232)=0,LEN(E1232)=0)),1,0)</f>
        <v>0</v>
      </c>
      <c r="AB1232" s="162" t="str">
        <f ca="1" t="shared" ref="AB1232" si="176">B1232&amp;C1232</f>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ref="S1233:S1264" si="177">IF(B1233="","",IF(ISERROR(MATCH($E1233,CL,0)),"Unknown",INDIRECT("'C'!$A$"&amp;MATCH($E1233,CL,0)+1)))</f>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ref="X1233:X1264" si="178">IF(AND(C1233="Smelter not listed",OR(LEN(D1233)=0,LEN(E1233)=0)),1,0)</f>
        <v>0</v>
      </c>
      <c r="AB1233" s="162" t="str">
        <f ca="1" t="shared" ref="AB1233:AB1264" si="179">B1233&amp;C1233</f>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7"/>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8"/>
        <v>0</v>
      </c>
      <c r="AB1234" s="162" t="str">
        <f ca="1" t="shared" si="179"/>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7"/>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8"/>
        <v>0</v>
      </c>
      <c r="AB1235" s="162" t="str">
        <f ca="1" t="shared" si="179"/>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7"/>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8"/>
        <v>0</v>
      </c>
      <c r="AB1236" s="162" t="str">
        <f ca="1" t="shared" si="179"/>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7"/>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8"/>
        <v>0</v>
      </c>
      <c r="AB1237" s="162" t="str">
        <f ca="1" t="shared" si="179"/>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7"/>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8"/>
        <v>0</v>
      </c>
      <c r="AB1238" s="162" t="str">
        <f ca="1" t="shared" si="179"/>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7"/>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8"/>
        <v>0</v>
      </c>
      <c r="AB1239" s="162" t="str">
        <f ca="1" t="shared" si="179"/>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7"/>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8"/>
        <v>0</v>
      </c>
      <c r="AB1240" s="162" t="str">
        <f ca="1" t="shared" si="179"/>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7"/>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8"/>
        <v>0</v>
      </c>
      <c r="AB1241" s="162" t="str">
        <f ca="1" t="shared" si="179"/>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7"/>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8"/>
        <v>0</v>
      </c>
      <c r="AB1242" s="162" t="str">
        <f ca="1" t="shared" si="179"/>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7"/>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8"/>
        <v>0</v>
      </c>
      <c r="AB1243" s="162" t="str">
        <f ca="1" t="shared" si="179"/>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7"/>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8"/>
        <v>0</v>
      </c>
      <c r="AB1244" s="162" t="str">
        <f ca="1" t="shared" si="179"/>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7"/>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8"/>
        <v>0</v>
      </c>
      <c r="AB1245" s="162" t="str">
        <f ca="1" t="shared" si="179"/>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7"/>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8"/>
        <v>0</v>
      </c>
      <c r="AB1246" s="162" t="str">
        <f ca="1" t="shared" si="179"/>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7"/>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8"/>
        <v>0</v>
      </c>
      <c r="AB1247" s="162" t="str">
        <f ca="1" t="shared" si="179"/>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7"/>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8"/>
        <v>0</v>
      </c>
      <c r="AB1248" s="162" t="str">
        <f ca="1" t="shared" si="179"/>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7"/>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8"/>
        <v>0</v>
      </c>
      <c r="AB1249" s="162" t="str">
        <f ca="1" t="shared" si="179"/>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7"/>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8"/>
        <v>0</v>
      </c>
      <c r="AB1250" s="162" t="str">
        <f ca="1" t="shared" si="179"/>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7"/>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8"/>
        <v>0</v>
      </c>
      <c r="AB1251" s="162" t="str">
        <f ca="1" t="shared" si="179"/>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7"/>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8"/>
        <v>0</v>
      </c>
      <c r="AB1252" s="162" t="str">
        <f ca="1" t="shared" si="179"/>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7"/>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8"/>
        <v>0</v>
      </c>
      <c r="AB1253" s="162" t="str">
        <f ca="1" t="shared" si="179"/>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7"/>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8"/>
        <v>0</v>
      </c>
      <c r="AB1254" s="162" t="str">
        <f ca="1" t="shared" si="179"/>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7"/>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8"/>
        <v>0</v>
      </c>
      <c r="AB1255" s="162" t="str">
        <f ca="1" t="shared" si="179"/>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7"/>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8"/>
        <v>0</v>
      </c>
      <c r="AB1256" s="162" t="str">
        <f ca="1" t="shared" si="179"/>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7"/>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8"/>
        <v>0</v>
      </c>
      <c r="AB1257" s="162" t="str">
        <f ca="1" t="shared" si="179"/>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7"/>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8"/>
        <v>0</v>
      </c>
      <c r="AB1258" s="162" t="str">
        <f ca="1" t="shared" si="179"/>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7"/>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8"/>
        <v>0</v>
      </c>
      <c r="AB1259" s="162" t="str">
        <f ca="1" t="shared" si="179"/>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7"/>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8"/>
        <v>0</v>
      </c>
      <c r="AB1260" s="162" t="str">
        <f ca="1" t="shared" si="179"/>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7"/>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8"/>
        <v>0</v>
      </c>
      <c r="AB1261" s="162" t="str">
        <f ca="1" t="shared" si="179"/>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7"/>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8"/>
        <v>0</v>
      </c>
      <c r="AB1262" s="162" t="str">
        <f ca="1" t="shared" si="179"/>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7"/>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8"/>
        <v>0</v>
      </c>
      <c r="AB1263" s="162" t="str">
        <f ca="1" t="shared" si="179"/>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7"/>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8"/>
        <v>0</v>
      </c>
      <c r="AB1264" s="162" t="str">
        <f ca="1" t="shared" si="179"/>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ref="S1265:S1295" si="180">IF(B1265="","",IF(ISERROR(MATCH($E1265,CL,0)),"Unknown",INDIRECT("'C'!$A$"&amp;MATCH($E1265,CL,0)+1)))</f>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ref="X1265:X1295" si="181">IF(AND(C1265="Smelter not listed",OR(LEN(D1265)=0,LEN(E1265)=0)),1,0)</f>
        <v>0</v>
      </c>
      <c r="AB1265" s="162" t="str">
        <f ca="1" t="shared" ref="AB1265:AB1295" si="182">B1265&amp;C1265</f>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0"/>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1"/>
        <v>0</v>
      </c>
      <c r="AB1266" s="162" t="str">
        <f ca="1" t="shared" si="182"/>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0"/>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1"/>
        <v>0</v>
      </c>
      <c r="AB1267" s="162" t="str">
        <f ca="1" t="shared" si="182"/>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0"/>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1"/>
        <v>0</v>
      </c>
      <c r="AB1268" s="162" t="str">
        <f ca="1" t="shared" si="182"/>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0"/>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1"/>
        <v>0</v>
      </c>
      <c r="AB1269" s="162" t="str">
        <f ca="1" t="shared" si="182"/>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0"/>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1"/>
        <v>0</v>
      </c>
      <c r="AB1270" s="162" t="str">
        <f ca="1" t="shared" si="182"/>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0"/>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1"/>
        <v>0</v>
      </c>
      <c r="AB1271" s="162" t="str">
        <f ca="1" t="shared" si="182"/>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0"/>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1"/>
        <v>0</v>
      </c>
      <c r="AB1272" s="162" t="str">
        <f ca="1" t="shared" si="182"/>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0"/>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1"/>
        <v>0</v>
      </c>
      <c r="AB1273" s="162" t="str">
        <f ca="1" t="shared" si="182"/>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0"/>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1"/>
        <v>0</v>
      </c>
      <c r="AB1274" s="162" t="str">
        <f ca="1" t="shared" si="182"/>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0"/>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1"/>
        <v>0</v>
      </c>
      <c r="AB1275" s="162" t="str">
        <f ca="1" t="shared" si="182"/>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0"/>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1"/>
        <v>0</v>
      </c>
      <c r="AB1276" s="162" t="str">
        <f ca="1" t="shared" si="182"/>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0"/>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1"/>
        <v>0</v>
      </c>
      <c r="AB1277" s="162" t="str">
        <f ca="1" t="shared" si="182"/>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0"/>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1"/>
        <v>0</v>
      </c>
      <c r="AB1278" s="162" t="str">
        <f ca="1" t="shared" si="182"/>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0"/>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1"/>
        <v>0</v>
      </c>
      <c r="AB1279" s="162" t="str">
        <f ca="1" t="shared" si="182"/>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0"/>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1"/>
        <v>0</v>
      </c>
      <c r="AB1280" s="162" t="str">
        <f ca="1" t="shared" si="182"/>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0"/>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1"/>
        <v>0</v>
      </c>
      <c r="AB1281" s="162" t="str">
        <f ca="1" t="shared" si="182"/>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0"/>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1"/>
        <v>0</v>
      </c>
      <c r="AB1282" s="162" t="str">
        <f ca="1" t="shared" si="182"/>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0"/>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1"/>
        <v>0</v>
      </c>
      <c r="AB1283" s="162" t="str">
        <f ca="1" t="shared" si="182"/>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0"/>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1"/>
        <v>0</v>
      </c>
      <c r="AB1284" s="162" t="str">
        <f ca="1" t="shared" si="182"/>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0"/>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1"/>
        <v>0</v>
      </c>
      <c r="AB1285" s="162" t="str">
        <f ca="1" t="shared" si="182"/>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0"/>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1"/>
        <v>0</v>
      </c>
      <c r="AB1286" s="162" t="str">
        <f ca="1" t="shared" si="182"/>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0"/>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1"/>
        <v>0</v>
      </c>
      <c r="AB1287" s="162" t="str">
        <f ca="1" t="shared" si="182"/>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0"/>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1"/>
        <v>0</v>
      </c>
      <c r="AB1288" s="162" t="str">
        <f ca="1" t="shared" si="182"/>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0"/>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1"/>
        <v>0</v>
      </c>
      <c r="AB1289" s="162" t="str">
        <f ca="1" t="shared" si="182"/>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0"/>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1"/>
        <v>0</v>
      </c>
      <c r="AB1290" s="162" t="str">
        <f ca="1" t="shared" si="182"/>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0"/>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1"/>
        <v>0</v>
      </c>
      <c r="AB1291" s="162" t="str">
        <f ca="1" t="shared" si="182"/>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0"/>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1"/>
        <v>0</v>
      </c>
      <c r="AB1292" s="162" t="str">
        <f ca="1" t="shared" si="182"/>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0"/>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1"/>
        <v>0</v>
      </c>
      <c r="AB1293" s="162" t="str">
        <f ca="1" t="shared" si="182"/>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0"/>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1"/>
        <v>0</v>
      </c>
      <c r="AB1294" s="162" t="str">
        <f ca="1" t="shared" si="182"/>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0"/>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1"/>
        <v>0</v>
      </c>
      <c r="AB1295" s="162" t="str">
        <f ca="1" t="shared" si="182"/>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ref="S1296" si="183">IF(B1296="","",IF(ISERROR(MATCH($E1296,CL,0)),"Unknown",INDIRECT("'C'!$A$"&amp;MATCH($E1296,CL,0)+1)))</f>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ref="X1296" si="184">IF(AND(C1296="Smelter not listed",OR(LEN(D1296)=0,LEN(E1296)=0)),1,0)</f>
        <v>0</v>
      </c>
      <c r="AB1296" s="162" t="str">
        <f ca="1" t="shared" ref="AB1296" si="185">B1296&amp;C1296</f>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ref="S1297:S1328" si="186">IF(B1297="","",IF(ISERROR(MATCH($E1297,CL,0)),"Unknown",INDIRECT("'C'!$A$"&amp;MATCH($E1297,CL,0)+1)))</f>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ref="X1297:X1328" si="187">IF(AND(C1297="Smelter not listed",OR(LEN(D1297)=0,LEN(E1297)=0)),1,0)</f>
        <v>0</v>
      </c>
      <c r="AB1297" s="162" t="str">
        <f ca="1" t="shared" ref="AB1297:AB1328" si="188">B1297&amp;C1297</f>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6"/>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7"/>
        <v>0</v>
      </c>
      <c r="AB1298" s="162" t="str">
        <f ca="1" t="shared" si="188"/>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6"/>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7"/>
        <v>0</v>
      </c>
      <c r="AB1299" s="162" t="str">
        <f ca="1" t="shared" si="188"/>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6"/>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7"/>
        <v>0</v>
      </c>
      <c r="AB1300" s="162" t="str">
        <f ca="1" t="shared" si="188"/>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6"/>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7"/>
        <v>0</v>
      </c>
      <c r="AB1301" s="162" t="str">
        <f ca="1" t="shared" si="188"/>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6"/>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7"/>
        <v>0</v>
      </c>
      <c r="AB1302" s="162" t="str">
        <f ca="1" t="shared" si="188"/>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6"/>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7"/>
        <v>0</v>
      </c>
      <c r="AB1303" s="162" t="str">
        <f ca="1" t="shared" si="188"/>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6"/>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7"/>
        <v>0</v>
      </c>
      <c r="AB1304" s="162" t="str">
        <f ca="1" t="shared" si="188"/>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6"/>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7"/>
        <v>0</v>
      </c>
      <c r="AB1305" s="162" t="str">
        <f ca="1" t="shared" si="188"/>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6"/>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7"/>
        <v>0</v>
      </c>
      <c r="AB1306" s="162" t="str">
        <f ca="1" t="shared" si="188"/>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6"/>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7"/>
        <v>0</v>
      </c>
      <c r="AB1307" s="162" t="str">
        <f ca="1" t="shared" si="188"/>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6"/>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7"/>
        <v>0</v>
      </c>
      <c r="AB1308" s="162" t="str">
        <f ca="1" t="shared" si="188"/>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6"/>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7"/>
        <v>0</v>
      </c>
      <c r="AB1309" s="162" t="str">
        <f ca="1" t="shared" si="188"/>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6"/>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7"/>
        <v>0</v>
      </c>
      <c r="AB1310" s="162" t="str">
        <f ca="1" t="shared" si="188"/>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6"/>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7"/>
        <v>0</v>
      </c>
      <c r="AB1311" s="162" t="str">
        <f ca="1" t="shared" si="188"/>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6"/>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7"/>
        <v>0</v>
      </c>
      <c r="AB1312" s="162" t="str">
        <f ca="1" t="shared" si="188"/>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6"/>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7"/>
        <v>0</v>
      </c>
      <c r="AB1313" s="162" t="str">
        <f ca="1" t="shared" si="188"/>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6"/>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7"/>
        <v>0</v>
      </c>
      <c r="AB1314" s="162" t="str">
        <f ca="1" t="shared" si="188"/>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6"/>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7"/>
        <v>0</v>
      </c>
      <c r="AB1315" s="162" t="str">
        <f ca="1" t="shared" si="188"/>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6"/>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7"/>
        <v>0</v>
      </c>
      <c r="AB1316" s="162" t="str">
        <f ca="1" t="shared" si="188"/>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6"/>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7"/>
        <v>0</v>
      </c>
      <c r="AB1317" s="162" t="str">
        <f ca="1" t="shared" si="188"/>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6"/>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7"/>
        <v>0</v>
      </c>
      <c r="AB1318" s="162" t="str">
        <f ca="1" t="shared" si="188"/>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6"/>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7"/>
        <v>0</v>
      </c>
      <c r="AB1319" s="162" t="str">
        <f ca="1" t="shared" si="188"/>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6"/>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7"/>
        <v>0</v>
      </c>
      <c r="AB1320" s="162" t="str">
        <f ca="1" t="shared" si="188"/>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6"/>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7"/>
        <v>0</v>
      </c>
      <c r="AB1321" s="162" t="str">
        <f ca="1" t="shared" si="188"/>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6"/>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7"/>
        <v>0</v>
      </c>
      <c r="AB1322" s="162" t="str">
        <f ca="1" t="shared" si="188"/>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6"/>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7"/>
        <v>0</v>
      </c>
      <c r="AB1323" s="162" t="str">
        <f ca="1" t="shared" si="188"/>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6"/>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7"/>
        <v>0</v>
      </c>
      <c r="AB1324" s="162" t="str">
        <f ca="1" t="shared" si="188"/>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6"/>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7"/>
        <v>0</v>
      </c>
      <c r="AB1325" s="162" t="str">
        <f ca="1" t="shared" si="188"/>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6"/>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7"/>
        <v>0</v>
      </c>
      <c r="AB1326" s="162" t="str">
        <f ca="1" t="shared" si="188"/>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6"/>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7"/>
        <v>0</v>
      </c>
      <c r="AB1327" s="162" t="str">
        <f ca="1" t="shared" si="188"/>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6"/>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7"/>
        <v>0</v>
      </c>
      <c r="AB1328" s="162" t="str">
        <f ca="1" t="shared" si="188"/>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ref="S1329:S1359" si="189">IF(B1329="","",IF(ISERROR(MATCH($E1329,CL,0)),"Unknown",INDIRECT("'C'!$A$"&amp;MATCH($E1329,CL,0)+1)))</f>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ref="X1329:X1359" si="190">IF(AND(C1329="Smelter not listed",OR(LEN(D1329)=0,LEN(E1329)=0)),1,0)</f>
        <v>0</v>
      </c>
      <c r="AB1329" s="162" t="str">
        <f ca="1" t="shared" ref="AB1329:AB1359" si="191">B1329&amp;C1329</f>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9"/>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0"/>
        <v>0</v>
      </c>
      <c r="AB1330" s="162" t="str">
        <f ca="1" t="shared" si="191"/>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9"/>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0"/>
        <v>0</v>
      </c>
      <c r="AB1331" s="162" t="str">
        <f ca="1" t="shared" si="191"/>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9"/>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0"/>
        <v>0</v>
      </c>
      <c r="AB1332" s="162" t="str">
        <f ca="1" t="shared" si="191"/>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9"/>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0"/>
        <v>0</v>
      </c>
      <c r="AB1333" s="162" t="str">
        <f ca="1" t="shared" si="191"/>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9"/>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0"/>
        <v>0</v>
      </c>
      <c r="AB1334" s="162" t="str">
        <f ca="1" t="shared" si="191"/>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9"/>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0"/>
        <v>0</v>
      </c>
      <c r="AB1335" s="162" t="str">
        <f ca="1" t="shared" si="191"/>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9"/>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0"/>
        <v>0</v>
      </c>
      <c r="AB1336" s="162" t="str">
        <f ca="1" t="shared" si="191"/>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89"/>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0"/>
        <v>0</v>
      </c>
      <c r="AB1337" s="162" t="str">
        <f ca="1" t="shared" si="191"/>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89"/>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0"/>
        <v>0</v>
      </c>
      <c r="AB1338" s="162" t="str">
        <f ca="1" t="shared" si="191"/>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89"/>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0"/>
        <v>0</v>
      </c>
      <c r="AB1339" s="162" t="str">
        <f ca="1" t="shared" si="191"/>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89"/>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0"/>
        <v>0</v>
      </c>
      <c r="AB1340" s="162" t="str">
        <f ca="1" t="shared" si="191"/>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89"/>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0"/>
        <v>0</v>
      </c>
      <c r="AB1341" s="162" t="str">
        <f ca="1" t="shared" si="191"/>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89"/>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0"/>
        <v>0</v>
      </c>
      <c r="AB1342" s="162" t="str">
        <f ca="1" t="shared" si="191"/>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89"/>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0"/>
        <v>0</v>
      </c>
      <c r="AB1343" s="162" t="str">
        <f ca="1" t="shared" si="191"/>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89"/>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0"/>
        <v>0</v>
      </c>
      <c r="AB1344" s="162" t="str">
        <f ca="1" t="shared" si="191"/>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89"/>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0"/>
        <v>0</v>
      </c>
      <c r="AB1345" s="162" t="str">
        <f ca="1" t="shared" si="191"/>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89"/>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0"/>
        <v>0</v>
      </c>
      <c r="AB1346" s="162" t="str">
        <f ca="1" t="shared" si="191"/>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89"/>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0"/>
        <v>0</v>
      </c>
      <c r="AB1347" s="162" t="str">
        <f ca="1" t="shared" si="191"/>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89"/>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0"/>
        <v>0</v>
      </c>
      <c r="AB1348" s="162" t="str">
        <f ca="1" t="shared" si="191"/>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89"/>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0"/>
        <v>0</v>
      </c>
      <c r="AB1349" s="162" t="str">
        <f ca="1" t="shared" si="191"/>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89"/>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0"/>
        <v>0</v>
      </c>
      <c r="AB1350" s="162" t="str">
        <f ca="1" t="shared" si="191"/>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89"/>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0"/>
        <v>0</v>
      </c>
      <c r="AB1351" s="162" t="str">
        <f ca="1" t="shared" si="191"/>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89"/>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0"/>
        <v>0</v>
      </c>
      <c r="AB1352" s="162" t="str">
        <f ca="1" t="shared" si="191"/>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89"/>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0"/>
        <v>0</v>
      </c>
      <c r="AB1353" s="162" t="str">
        <f ca="1" t="shared" si="191"/>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89"/>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0"/>
        <v>0</v>
      </c>
      <c r="AB1354" s="162" t="str">
        <f ca="1" t="shared" si="191"/>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89"/>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0"/>
        <v>0</v>
      </c>
      <c r="AB1355" s="162" t="str">
        <f ca="1" t="shared" si="191"/>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89"/>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0"/>
        <v>0</v>
      </c>
      <c r="AB1356" s="162" t="str">
        <f ca="1" t="shared" si="191"/>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89"/>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0"/>
        <v>0</v>
      </c>
      <c r="AB1357" s="162" t="str">
        <f ca="1" t="shared" si="191"/>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89"/>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0"/>
        <v>0</v>
      </c>
      <c r="AB1358" s="162" t="str">
        <f ca="1" t="shared" si="191"/>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89"/>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0"/>
        <v>0</v>
      </c>
      <c r="AB1359" s="162" t="str">
        <f ca="1" t="shared" si="191"/>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ref="S1360" si="192">IF(B1360="","",IF(ISERROR(MATCH($E1360,CL,0)),"Unknown",INDIRECT("'C'!$A$"&amp;MATCH($E1360,CL,0)+1)))</f>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ref="X1360" si="193">IF(AND(C1360="Smelter not listed",OR(LEN(D1360)=0,LEN(E1360)=0)),1,0)</f>
        <v>0</v>
      </c>
      <c r="AB1360" s="162" t="str">
        <f ca="1" t="shared" ref="AB1360" si="194">B1360&amp;C1360</f>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ref="S1361:S1392" si="195">IF(B1361="","",IF(ISERROR(MATCH($E1361,CL,0)),"Unknown",INDIRECT("'C'!$A$"&amp;MATCH($E1361,CL,0)+1)))</f>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ref="X1361:X1392" si="196">IF(AND(C1361="Smelter not listed",OR(LEN(D1361)=0,LEN(E1361)=0)),1,0)</f>
        <v>0</v>
      </c>
      <c r="AB1361" s="162" t="str">
        <f ca="1" t="shared" ref="AB1361:AB1392" si="197">B1361&amp;C1361</f>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5"/>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6"/>
        <v>0</v>
      </c>
      <c r="AB1362" s="162" t="str">
        <f ca="1" t="shared" si="197"/>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5"/>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6"/>
        <v>0</v>
      </c>
      <c r="AB1363" s="162" t="str">
        <f ca="1" t="shared" si="197"/>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5"/>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6"/>
        <v>0</v>
      </c>
      <c r="AB1364" s="162" t="str">
        <f ca="1" t="shared" si="197"/>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5"/>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6"/>
        <v>0</v>
      </c>
      <c r="AB1365" s="162" t="str">
        <f ca="1" t="shared" si="197"/>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5"/>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6"/>
        <v>0</v>
      </c>
      <c r="AB1366" s="162" t="str">
        <f ca="1" t="shared" si="197"/>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5"/>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6"/>
        <v>0</v>
      </c>
      <c r="AB1367" s="162" t="str">
        <f ca="1" t="shared" si="197"/>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5"/>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6"/>
        <v>0</v>
      </c>
      <c r="AB1368" s="162" t="str">
        <f ca="1" t="shared" si="197"/>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5"/>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6"/>
        <v>0</v>
      </c>
      <c r="AB1369" s="162" t="str">
        <f ca="1" t="shared" si="197"/>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5"/>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6"/>
        <v>0</v>
      </c>
      <c r="AB1370" s="162" t="str">
        <f ca="1" t="shared" si="197"/>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5"/>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6"/>
        <v>0</v>
      </c>
      <c r="AB1371" s="162" t="str">
        <f ca="1" t="shared" si="197"/>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5"/>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6"/>
        <v>0</v>
      </c>
      <c r="AB1372" s="162" t="str">
        <f ca="1" t="shared" si="197"/>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5"/>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6"/>
        <v>0</v>
      </c>
      <c r="AB1373" s="162" t="str">
        <f ca="1" t="shared" si="197"/>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5"/>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6"/>
        <v>0</v>
      </c>
      <c r="AB1374" s="162" t="str">
        <f ca="1" t="shared" si="197"/>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5"/>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6"/>
        <v>0</v>
      </c>
      <c r="AB1375" s="162" t="str">
        <f ca="1" t="shared" si="197"/>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5"/>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6"/>
        <v>0</v>
      </c>
      <c r="AB1376" s="162" t="str">
        <f ca="1" t="shared" si="197"/>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5"/>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6"/>
        <v>0</v>
      </c>
      <c r="AB1377" s="162" t="str">
        <f ca="1" t="shared" si="197"/>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5"/>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6"/>
        <v>0</v>
      </c>
      <c r="AB1378" s="162" t="str">
        <f ca="1" t="shared" si="197"/>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5"/>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6"/>
        <v>0</v>
      </c>
      <c r="AB1379" s="162" t="str">
        <f ca="1" t="shared" si="197"/>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5"/>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6"/>
        <v>0</v>
      </c>
      <c r="AB1380" s="162" t="str">
        <f ca="1" t="shared" si="197"/>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5"/>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6"/>
        <v>0</v>
      </c>
      <c r="AB1381" s="162" t="str">
        <f ca="1" t="shared" si="197"/>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5"/>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6"/>
        <v>0</v>
      </c>
      <c r="AB1382" s="162" t="str">
        <f ca="1" t="shared" si="197"/>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5"/>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6"/>
        <v>0</v>
      </c>
      <c r="AB1383" s="162" t="str">
        <f ca="1" t="shared" si="197"/>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5"/>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6"/>
        <v>0</v>
      </c>
      <c r="AB1384" s="162" t="str">
        <f ca="1" t="shared" si="197"/>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5"/>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6"/>
        <v>0</v>
      </c>
      <c r="AB1385" s="162" t="str">
        <f ca="1" t="shared" si="197"/>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5"/>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6"/>
        <v>0</v>
      </c>
      <c r="AB1386" s="162" t="str">
        <f ca="1" t="shared" si="197"/>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5"/>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6"/>
        <v>0</v>
      </c>
      <c r="AB1387" s="162" t="str">
        <f ca="1" t="shared" si="197"/>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5"/>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6"/>
        <v>0</v>
      </c>
      <c r="AB1388" s="162" t="str">
        <f ca="1" t="shared" si="197"/>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5"/>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6"/>
        <v>0</v>
      </c>
      <c r="AB1389" s="162" t="str">
        <f ca="1" t="shared" si="197"/>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5"/>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6"/>
        <v>0</v>
      </c>
      <c r="AB1390" s="162" t="str">
        <f ca="1" t="shared" si="197"/>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5"/>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6"/>
        <v>0</v>
      </c>
      <c r="AB1391" s="162" t="str">
        <f ca="1" t="shared" si="197"/>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5"/>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6"/>
        <v>0</v>
      </c>
      <c r="AB1392" s="162" t="str">
        <f ca="1" t="shared" si="197"/>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ref="S1393:S1423" si="198">IF(B1393="","",IF(ISERROR(MATCH($E1393,CL,0)),"Unknown",INDIRECT("'C'!$A$"&amp;MATCH($E1393,CL,0)+1)))</f>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ref="X1393:X1423" si="199">IF(AND(C1393="Smelter not listed",OR(LEN(D1393)=0,LEN(E1393)=0)),1,0)</f>
        <v>0</v>
      </c>
      <c r="AB1393" s="162" t="str">
        <f ca="1" t="shared" ref="AB1393:AB1423" si="200">B1393&amp;C1393</f>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8"/>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9"/>
        <v>0</v>
      </c>
      <c r="AB1394" s="162" t="str">
        <f ca="1" t="shared" si="200"/>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8"/>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9"/>
        <v>0</v>
      </c>
      <c r="AB1395" s="162" t="str">
        <f ca="1" t="shared" si="200"/>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8"/>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9"/>
        <v>0</v>
      </c>
      <c r="AB1396" s="162" t="str">
        <f ca="1" t="shared" si="200"/>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8"/>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9"/>
        <v>0</v>
      </c>
      <c r="AB1397" s="162" t="str">
        <f ca="1" t="shared" si="200"/>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8"/>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9"/>
        <v>0</v>
      </c>
      <c r="AB1398" s="162" t="str">
        <f ca="1" t="shared" si="200"/>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8"/>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9"/>
        <v>0</v>
      </c>
      <c r="AB1399" s="162" t="str">
        <f ca="1" t="shared" si="200"/>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8"/>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9"/>
        <v>0</v>
      </c>
      <c r="AB1400" s="162" t="str">
        <f ca="1" t="shared" si="200"/>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8"/>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199"/>
        <v>0</v>
      </c>
      <c r="AB1401" s="162" t="str">
        <f ca="1" t="shared" si="200"/>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8"/>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199"/>
        <v>0</v>
      </c>
      <c r="AB1402" s="162" t="str">
        <f ca="1" t="shared" si="200"/>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8"/>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199"/>
        <v>0</v>
      </c>
      <c r="AB1403" s="162" t="str">
        <f ca="1" t="shared" si="200"/>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8"/>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199"/>
        <v>0</v>
      </c>
      <c r="AB1404" s="162" t="str">
        <f ca="1" t="shared" si="200"/>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8"/>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199"/>
        <v>0</v>
      </c>
      <c r="AB1405" s="162" t="str">
        <f ca="1" t="shared" si="200"/>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8"/>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199"/>
        <v>0</v>
      </c>
      <c r="AB1406" s="162" t="str">
        <f ca="1" t="shared" si="200"/>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8"/>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199"/>
        <v>0</v>
      </c>
      <c r="AB1407" s="162" t="str">
        <f ca="1" t="shared" si="200"/>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8"/>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199"/>
        <v>0</v>
      </c>
      <c r="AB1408" s="162" t="str">
        <f ca="1" t="shared" si="200"/>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8"/>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199"/>
        <v>0</v>
      </c>
      <c r="AB1409" s="162" t="str">
        <f ca="1" t="shared" si="200"/>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8"/>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199"/>
        <v>0</v>
      </c>
      <c r="AB1410" s="162" t="str">
        <f ca="1" t="shared" si="200"/>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8"/>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199"/>
        <v>0</v>
      </c>
      <c r="AB1411" s="162" t="str">
        <f ca="1" t="shared" si="200"/>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8"/>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199"/>
        <v>0</v>
      </c>
      <c r="AB1412" s="162" t="str">
        <f ca="1" t="shared" si="200"/>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8"/>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199"/>
        <v>0</v>
      </c>
      <c r="AB1413" s="162" t="str">
        <f ca="1" t="shared" si="200"/>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8"/>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199"/>
        <v>0</v>
      </c>
      <c r="AB1414" s="162" t="str">
        <f ca="1" t="shared" si="200"/>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8"/>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199"/>
        <v>0</v>
      </c>
      <c r="AB1415" s="162" t="str">
        <f ca="1" t="shared" si="200"/>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8"/>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199"/>
        <v>0</v>
      </c>
      <c r="AB1416" s="162" t="str">
        <f ca="1" t="shared" si="200"/>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8"/>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199"/>
        <v>0</v>
      </c>
      <c r="AB1417" s="162" t="str">
        <f ca="1" t="shared" si="200"/>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8"/>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199"/>
        <v>0</v>
      </c>
      <c r="AB1418" s="162" t="str">
        <f ca="1" t="shared" si="200"/>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8"/>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199"/>
        <v>0</v>
      </c>
      <c r="AB1419" s="162" t="str">
        <f ca="1" t="shared" si="200"/>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8"/>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199"/>
        <v>0</v>
      </c>
      <c r="AB1420" s="162" t="str">
        <f ca="1" t="shared" si="200"/>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8"/>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199"/>
        <v>0</v>
      </c>
      <c r="AB1421" s="162" t="str">
        <f ca="1" t="shared" si="200"/>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8"/>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199"/>
        <v>0</v>
      </c>
      <c r="AB1422" s="162" t="str">
        <f ca="1" t="shared" si="200"/>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8"/>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199"/>
        <v>0</v>
      </c>
      <c r="AB1423" s="162" t="str">
        <f ca="1" t="shared" si="200"/>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ref="S1424" si="201">IF(B1424="","",IF(ISERROR(MATCH($E1424,CL,0)),"Unknown",INDIRECT("'C'!$A$"&amp;MATCH($E1424,CL,0)+1)))</f>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ref="X1424" si="202">IF(AND(C1424="Smelter not listed",OR(LEN(D1424)=0,LEN(E1424)=0)),1,0)</f>
        <v>0</v>
      </c>
      <c r="AB1424" s="162" t="str">
        <f ca="1" t="shared" ref="AB1424" si="203">B1424&amp;C1424</f>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ref="S1425:S1456" si="204">IF(B1425="","",IF(ISERROR(MATCH($E1425,CL,0)),"Unknown",INDIRECT("'C'!$A$"&amp;MATCH($E1425,CL,0)+1)))</f>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ref="X1425:X1456" si="205">IF(AND(C1425="Smelter not listed",OR(LEN(D1425)=0,LEN(E1425)=0)),1,0)</f>
        <v>0</v>
      </c>
      <c r="AB1425" s="162" t="str">
        <f ca="1" t="shared" ref="AB1425:AB1456" si="206">B1425&amp;C1425</f>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4"/>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5"/>
        <v>0</v>
      </c>
      <c r="AB1426" s="162" t="str">
        <f ca="1" t="shared" si="206"/>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4"/>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5"/>
        <v>0</v>
      </c>
      <c r="AB1427" s="162" t="str">
        <f ca="1" t="shared" si="206"/>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4"/>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5"/>
        <v>0</v>
      </c>
      <c r="AB1428" s="162" t="str">
        <f ca="1" t="shared" si="206"/>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4"/>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5"/>
        <v>0</v>
      </c>
      <c r="AB1429" s="162" t="str">
        <f ca="1" t="shared" si="206"/>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4"/>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5"/>
        <v>0</v>
      </c>
      <c r="AB1430" s="162" t="str">
        <f ca="1" t="shared" si="206"/>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4"/>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5"/>
        <v>0</v>
      </c>
      <c r="AB1431" s="162" t="str">
        <f ca="1" t="shared" si="206"/>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4"/>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5"/>
        <v>0</v>
      </c>
      <c r="AB1432" s="162" t="str">
        <f ca="1" t="shared" si="206"/>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4"/>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5"/>
        <v>0</v>
      </c>
      <c r="AB1433" s="162" t="str">
        <f ca="1" t="shared" si="206"/>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4"/>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5"/>
        <v>0</v>
      </c>
      <c r="AB1434" s="162" t="str">
        <f ca="1" t="shared" si="206"/>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4"/>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5"/>
        <v>0</v>
      </c>
      <c r="AB1435" s="162" t="str">
        <f ca="1" t="shared" si="206"/>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4"/>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5"/>
        <v>0</v>
      </c>
      <c r="AB1436" s="162" t="str">
        <f ca="1" t="shared" si="206"/>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4"/>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5"/>
        <v>0</v>
      </c>
      <c r="AB1437" s="162" t="str">
        <f ca="1" t="shared" si="206"/>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4"/>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5"/>
        <v>0</v>
      </c>
      <c r="AB1438" s="162" t="str">
        <f ca="1" t="shared" si="206"/>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4"/>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5"/>
        <v>0</v>
      </c>
      <c r="AB1439" s="162" t="str">
        <f ca="1" t="shared" si="206"/>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4"/>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5"/>
        <v>0</v>
      </c>
      <c r="AB1440" s="162" t="str">
        <f ca="1" t="shared" si="206"/>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4"/>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5"/>
        <v>0</v>
      </c>
      <c r="AB1441" s="162" t="str">
        <f ca="1" t="shared" si="206"/>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4"/>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5"/>
        <v>0</v>
      </c>
      <c r="AB1442" s="162" t="str">
        <f ca="1" t="shared" si="206"/>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4"/>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5"/>
        <v>0</v>
      </c>
      <c r="AB1443" s="162" t="str">
        <f ca="1" t="shared" si="206"/>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4"/>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5"/>
        <v>0</v>
      </c>
      <c r="AB1444" s="162" t="str">
        <f ca="1" t="shared" si="206"/>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4"/>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5"/>
        <v>0</v>
      </c>
      <c r="AB1445" s="162" t="str">
        <f ca="1" t="shared" si="206"/>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4"/>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5"/>
        <v>0</v>
      </c>
      <c r="AB1446" s="162" t="str">
        <f ca="1" t="shared" si="206"/>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4"/>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5"/>
        <v>0</v>
      </c>
      <c r="AB1447" s="162" t="str">
        <f ca="1" t="shared" si="206"/>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4"/>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5"/>
        <v>0</v>
      </c>
      <c r="AB1448" s="162" t="str">
        <f ca="1" t="shared" si="206"/>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4"/>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5"/>
        <v>0</v>
      </c>
      <c r="AB1449" s="162" t="str">
        <f ca="1" t="shared" si="206"/>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4"/>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5"/>
        <v>0</v>
      </c>
      <c r="AB1450" s="162" t="str">
        <f ca="1" t="shared" si="206"/>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4"/>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5"/>
        <v>0</v>
      </c>
      <c r="AB1451" s="162" t="str">
        <f ca="1" t="shared" si="206"/>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4"/>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5"/>
        <v>0</v>
      </c>
      <c r="AB1452" s="162" t="str">
        <f ca="1" t="shared" si="206"/>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4"/>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5"/>
        <v>0</v>
      </c>
      <c r="AB1453" s="162" t="str">
        <f ca="1" t="shared" si="206"/>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4"/>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5"/>
        <v>0</v>
      </c>
      <c r="AB1454" s="162" t="str">
        <f ca="1" t="shared" si="206"/>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4"/>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5"/>
        <v>0</v>
      </c>
      <c r="AB1455" s="162" t="str">
        <f ca="1" t="shared" si="206"/>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4"/>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5"/>
        <v>0</v>
      </c>
      <c r="AB1456" s="162" t="str">
        <f ca="1" t="shared" si="206"/>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ref="S1457:S1487" si="207">IF(B1457="","",IF(ISERROR(MATCH($E1457,CL,0)),"Unknown",INDIRECT("'C'!$A$"&amp;MATCH($E1457,CL,0)+1)))</f>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ref="X1457:X1487" si="208">IF(AND(C1457="Smelter not listed",OR(LEN(D1457)=0,LEN(E1457)=0)),1,0)</f>
        <v>0</v>
      </c>
      <c r="AB1457" s="162" t="str">
        <f ca="1" t="shared" ref="AB1457:AB1487" si="209">B1457&amp;C1457</f>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7"/>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8"/>
        <v>0</v>
      </c>
      <c r="AB1458" s="162" t="str">
        <f ca="1" t="shared" si="209"/>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7"/>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8"/>
        <v>0</v>
      </c>
      <c r="AB1459" s="162" t="str">
        <f ca="1" t="shared" si="209"/>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7"/>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8"/>
        <v>0</v>
      </c>
      <c r="AB1460" s="162" t="str">
        <f ca="1" t="shared" si="209"/>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7"/>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8"/>
        <v>0</v>
      </c>
      <c r="AB1461" s="162" t="str">
        <f ca="1" t="shared" si="209"/>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7"/>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8"/>
        <v>0</v>
      </c>
      <c r="AB1462" s="162" t="str">
        <f ca="1" t="shared" si="209"/>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7"/>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8"/>
        <v>0</v>
      </c>
      <c r="AB1463" s="162" t="str">
        <f ca="1" t="shared" si="209"/>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7"/>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8"/>
        <v>0</v>
      </c>
      <c r="AB1464" s="162" t="str">
        <f ca="1" t="shared" si="209"/>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7"/>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8"/>
        <v>0</v>
      </c>
      <c r="AB1465" s="162" t="str">
        <f ca="1" t="shared" si="209"/>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7"/>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8"/>
        <v>0</v>
      </c>
      <c r="AB1466" s="162" t="str">
        <f ca="1" t="shared" si="209"/>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7"/>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8"/>
        <v>0</v>
      </c>
      <c r="AB1467" s="162" t="str">
        <f ca="1" t="shared" si="209"/>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7"/>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8"/>
        <v>0</v>
      </c>
      <c r="AB1468" s="162" t="str">
        <f ca="1" t="shared" si="209"/>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7"/>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8"/>
        <v>0</v>
      </c>
      <c r="AB1469" s="162" t="str">
        <f ca="1" t="shared" si="209"/>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7"/>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8"/>
        <v>0</v>
      </c>
      <c r="AB1470" s="162" t="str">
        <f ca="1" t="shared" si="209"/>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7"/>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8"/>
        <v>0</v>
      </c>
      <c r="AB1471" s="162" t="str">
        <f ca="1" t="shared" si="209"/>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7"/>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8"/>
        <v>0</v>
      </c>
      <c r="AB1472" s="162" t="str">
        <f ca="1" t="shared" si="209"/>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7"/>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8"/>
        <v>0</v>
      </c>
      <c r="AB1473" s="162" t="str">
        <f ca="1" t="shared" si="209"/>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7"/>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8"/>
        <v>0</v>
      </c>
      <c r="AB1474" s="162" t="str">
        <f ca="1" t="shared" si="209"/>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7"/>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8"/>
        <v>0</v>
      </c>
      <c r="AB1475" s="162" t="str">
        <f ca="1" t="shared" si="209"/>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7"/>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8"/>
        <v>0</v>
      </c>
      <c r="AB1476" s="162" t="str">
        <f ca="1" t="shared" si="209"/>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7"/>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8"/>
        <v>0</v>
      </c>
      <c r="AB1477" s="162" t="str">
        <f ca="1" t="shared" si="209"/>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7"/>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8"/>
        <v>0</v>
      </c>
      <c r="AB1478" s="162" t="str">
        <f ca="1" t="shared" si="209"/>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7"/>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8"/>
        <v>0</v>
      </c>
      <c r="AB1479" s="162" t="str">
        <f ca="1" t="shared" si="209"/>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7"/>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8"/>
        <v>0</v>
      </c>
      <c r="AB1480" s="162" t="str">
        <f ca="1" t="shared" si="209"/>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7"/>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8"/>
        <v>0</v>
      </c>
      <c r="AB1481" s="162" t="str">
        <f ca="1" t="shared" si="209"/>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7"/>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8"/>
        <v>0</v>
      </c>
      <c r="AB1482" s="162" t="str">
        <f ca="1" t="shared" si="209"/>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7"/>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8"/>
        <v>0</v>
      </c>
      <c r="AB1483" s="162" t="str">
        <f ca="1" t="shared" si="209"/>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7"/>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8"/>
        <v>0</v>
      </c>
      <c r="AB1484" s="162" t="str">
        <f ca="1" t="shared" si="209"/>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7"/>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8"/>
        <v>0</v>
      </c>
      <c r="AB1485" s="162" t="str">
        <f ca="1" t="shared" si="209"/>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7"/>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8"/>
        <v>0</v>
      </c>
      <c r="AB1486" s="162" t="str">
        <f ca="1" t="shared" si="209"/>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7"/>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8"/>
        <v>0</v>
      </c>
      <c r="AB1487" s="162" t="str">
        <f ca="1" t="shared" si="209"/>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ref="S1488" si="210">IF(B1488="","",IF(ISERROR(MATCH($E1488,CL,0)),"Unknown",INDIRECT("'C'!$A$"&amp;MATCH($E1488,CL,0)+1)))</f>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ref="X1488" si="211">IF(AND(C1488="Smelter not listed",OR(LEN(D1488)=0,LEN(E1488)=0)),1,0)</f>
        <v>0</v>
      </c>
      <c r="AB1488" s="162" t="str">
        <f ca="1" t="shared" ref="AB1488" si="212">B1488&amp;C1488</f>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ref="S1489:S1520" si="213">IF(B1489="","",IF(ISERROR(MATCH($E1489,CL,0)),"Unknown",INDIRECT("'C'!$A$"&amp;MATCH($E1489,CL,0)+1)))</f>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ref="X1489:X1520" si="214">IF(AND(C1489="Smelter not listed",OR(LEN(D1489)=0,LEN(E1489)=0)),1,0)</f>
        <v>0</v>
      </c>
      <c r="AB1489" s="162" t="str">
        <f ca="1" t="shared" ref="AB1489:AB1520" si="215">B1489&amp;C1489</f>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3"/>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4"/>
        <v>0</v>
      </c>
      <c r="AB1490" s="162" t="str">
        <f ca="1" t="shared" si="215"/>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3"/>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4"/>
        <v>0</v>
      </c>
      <c r="AB1491" s="162" t="str">
        <f ca="1" t="shared" si="215"/>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3"/>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4"/>
        <v>0</v>
      </c>
      <c r="AB1492" s="162" t="str">
        <f ca="1" t="shared" si="215"/>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3"/>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4"/>
        <v>0</v>
      </c>
      <c r="AB1493" s="162" t="str">
        <f ca="1" t="shared" si="215"/>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3"/>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4"/>
        <v>0</v>
      </c>
      <c r="AB1494" s="162" t="str">
        <f ca="1" t="shared" si="215"/>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3"/>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4"/>
        <v>0</v>
      </c>
      <c r="AB1495" s="162" t="str">
        <f ca="1" t="shared" si="215"/>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3"/>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4"/>
        <v>0</v>
      </c>
      <c r="AB1496" s="162" t="str">
        <f ca="1" t="shared" si="215"/>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3"/>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4"/>
        <v>0</v>
      </c>
      <c r="AB1497" s="162" t="str">
        <f ca="1" t="shared" si="215"/>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3"/>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4"/>
        <v>0</v>
      </c>
      <c r="AB1498" s="162" t="str">
        <f ca="1" t="shared" si="215"/>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3"/>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4"/>
        <v>0</v>
      </c>
      <c r="AB1499" s="162" t="str">
        <f ca="1" t="shared" si="215"/>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3"/>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4"/>
        <v>0</v>
      </c>
      <c r="AB1500" s="162" t="str">
        <f ca="1" t="shared" si="215"/>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3"/>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4"/>
        <v>0</v>
      </c>
      <c r="AB1501" s="162" t="str">
        <f ca="1" t="shared" si="215"/>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3"/>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4"/>
        <v>0</v>
      </c>
      <c r="AB1502" s="162" t="str">
        <f ca="1" t="shared" si="215"/>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3"/>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4"/>
        <v>0</v>
      </c>
      <c r="AB1503" s="162" t="str">
        <f ca="1" t="shared" si="215"/>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3"/>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4"/>
        <v>0</v>
      </c>
      <c r="AB1504" s="162" t="str">
        <f ca="1" t="shared" si="215"/>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3"/>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4"/>
        <v>0</v>
      </c>
      <c r="AB1505" s="162" t="str">
        <f ca="1" t="shared" si="215"/>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3"/>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4"/>
        <v>0</v>
      </c>
      <c r="AB1506" s="162" t="str">
        <f ca="1" t="shared" si="215"/>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3"/>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4"/>
        <v>0</v>
      </c>
      <c r="AB1507" s="162" t="str">
        <f ca="1" t="shared" si="215"/>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3"/>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4"/>
        <v>0</v>
      </c>
      <c r="AB1508" s="162" t="str">
        <f ca="1" t="shared" si="215"/>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3"/>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4"/>
        <v>0</v>
      </c>
      <c r="AB1509" s="162" t="str">
        <f ca="1" t="shared" si="215"/>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3"/>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4"/>
        <v>0</v>
      </c>
      <c r="AB1510" s="162" t="str">
        <f ca="1" t="shared" si="215"/>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3"/>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4"/>
        <v>0</v>
      </c>
      <c r="AB1511" s="162" t="str">
        <f ca="1" t="shared" si="215"/>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3"/>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4"/>
        <v>0</v>
      </c>
      <c r="AB1512" s="162" t="str">
        <f ca="1" t="shared" si="215"/>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3"/>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4"/>
        <v>0</v>
      </c>
      <c r="AB1513" s="162" t="str">
        <f ca="1" t="shared" si="215"/>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3"/>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4"/>
        <v>0</v>
      </c>
      <c r="AB1514" s="162" t="str">
        <f ca="1" t="shared" si="215"/>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3"/>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4"/>
        <v>0</v>
      </c>
      <c r="AB1515" s="162" t="str">
        <f ca="1" t="shared" si="215"/>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3"/>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4"/>
        <v>0</v>
      </c>
      <c r="AB1516" s="162" t="str">
        <f ca="1" t="shared" si="215"/>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3"/>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4"/>
        <v>0</v>
      </c>
      <c r="AB1517" s="162" t="str">
        <f ca="1" t="shared" si="215"/>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3"/>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4"/>
        <v>0</v>
      </c>
      <c r="AB1518" s="162" t="str">
        <f ca="1" t="shared" si="215"/>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3"/>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4"/>
        <v>0</v>
      </c>
      <c r="AB1519" s="162" t="str">
        <f ca="1" t="shared" si="215"/>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3"/>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4"/>
        <v>0</v>
      </c>
      <c r="AB1520" s="162" t="str">
        <f ca="1" t="shared" si="215"/>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ref="S1521:S1551" si="216">IF(B1521="","",IF(ISERROR(MATCH($E1521,CL,0)),"Unknown",INDIRECT("'C'!$A$"&amp;MATCH($E1521,CL,0)+1)))</f>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ref="X1521:X1551" si="217">IF(AND(C1521="Smelter not listed",OR(LEN(D1521)=0,LEN(E1521)=0)),1,0)</f>
        <v>0</v>
      </c>
      <c r="AB1521" s="162" t="str">
        <f ca="1" t="shared" ref="AB1521:AB1551" si="218">B1521&amp;C1521</f>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6"/>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7"/>
        <v>0</v>
      </c>
      <c r="AB1522" s="162" t="str">
        <f ca="1" t="shared" si="218"/>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6"/>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7"/>
        <v>0</v>
      </c>
      <c r="AB1523" s="162" t="str">
        <f ca="1" t="shared" si="218"/>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6"/>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7"/>
        <v>0</v>
      </c>
      <c r="AB1524" s="162" t="str">
        <f ca="1" t="shared" si="218"/>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6"/>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7"/>
        <v>0</v>
      </c>
      <c r="AB1525" s="162" t="str">
        <f ca="1" t="shared" si="218"/>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6"/>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7"/>
        <v>0</v>
      </c>
      <c r="AB1526" s="162" t="str">
        <f ca="1" t="shared" si="218"/>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6"/>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7"/>
        <v>0</v>
      </c>
      <c r="AB1527" s="162" t="str">
        <f ca="1" t="shared" si="218"/>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6"/>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7"/>
        <v>0</v>
      </c>
      <c r="AB1528" s="162" t="str">
        <f ca="1" t="shared" si="218"/>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6"/>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7"/>
        <v>0</v>
      </c>
      <c r="AB1529" s="162" t="str">
        <f ca="1" t="shared" si="218"/>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6"/>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7"/>
        <v>0</v>
      </c>
      <c r="AB1530" s="162" t="str">
        <f ca="1" t="shared" si="218"/>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6"/>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7"/>
        <v>0</v>
      </c>
      <c r="AB1531" s="162" t="str">
        <f ca="1" t="shared" si="218"/>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6"/>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7"/>
        <v>0</v>
      </c>
      <c r="AB1532" s="162" t="str">
        <f ca="1" t="shared" si="218"/>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6"/>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7"/>
        <v>0</v>
      </c>
      <c r="AB1533" s="162" t="str">
        <f ca="1" t="shared" si="218"/>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6"/>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7"/>
        <v>0</v>
      </c>
      <c r="AB1534" s="162" t="str">
        <f ca="1" t="shared" si="218"/>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6"/>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7"/>
        <v>0</v>
      </c>
      <c r="AB1535" s="162" t="str">
        <f ca="1" t="shared" si="218"/>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6"/>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7"/>
        <v>0</v>
      </c>
      <c r="AB1536" s="162" t="str">
        <f ca="1" t="shared" si="218"/>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6"/>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7"/>
        <v>0</v>
      </c>
      <c r="AB1537" s="162" t="str">
        <f ca="1" t="shared" si="218"/>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6"/>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7"/>
        <v>0</v>
      </c>
      <c r="AB1538" s="162" t="str">
        <f ca="1" t="shared" si="218"/>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6"/>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7"/>
        <v>0</v>
      </c>
      <c r="AB1539" s="162" t="str">
        <f ca="1" t="shared" si="218"/>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6"/>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7"/>
        <v>0</v>
      </c>
      <c r="AB1540" s="162" t="str">
        <f ca="1" t="shared" si="218"/>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6"/>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7"/>
        <v>0</v>
      </c>
      <c r="AB1541" s="162" t="str">
        <f ca="1" t="shared" si="218"/>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6"/>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7"/>
        <v>0</v>
      </c>
      <c r="AB1542" s="162" t="str">
        <f ca="1" t="shared" si="218"/>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6"/>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7"/>
        <v>0</v>
      </c>
      <c r="AB1543" s="162" t="str">
        <f ca="1" t="shared" si="218"/>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6"/>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7"/>
        <v>0</v>
      </c>
      <c r="AB1544" s="162" t="str">
        <f ca="1" t="shared" si="218"/>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6"/>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7"/>
        <v>0</v>
      </c>
      <c r="AB1545" s="162" t="str">
        <f ca="1" t="shared" si="218"/>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6"/>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7"/>
        <v>0</v>
      </c>
      <c r="AB1546" s="162" t="str">
        <f ca="1" t="shared" si="218"/>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6"/>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7"/>
        <v>0</v>
      </c>
      <c r="AB1547" s="162" t="str">
        <f ca="1" t="shared" si="218"/>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6"/>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7"/>
        <v>0</v>
      </c>
      <c r="AB1548" s="162" t="str">
        <f ca="1" t="shared" si="218"/>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6"/>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7"/>
        <v>0</v>
      </c>
      <c r="AB1549" s="162" t="str">
        <f ca="1" t="shared" si="218"/>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6"/>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7"/>
        <v>0</v>
      </c>
      <c r="AB1550" s="162" t="str">
        <f ca="1" t="shared" si="218"/>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6"/>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7"/>
        <v>0</v>
      </c>
      <c r="AB1551" s="162" t="str">
        <f ca="1" t="shared" si="218"/>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ref="S1552" si="219">IF(B1552="","",IF(ISERROR(MATCH($E1552,CL,0)),"Unknown",INDIRECT("'C'!$A$"&amp;MATCH($E1552,CL,0)+1)))</f>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ref="X1552" si="220">IF(AND(C1552="Smelter not listed",OR(LEN(D1552)=0,LEN(E1552)=0)),1,0)</f>
        <v>0</v>
      </c>
      <c r="AB1552" s="162" t="str">
        <f ca="1" t="shared" ref="AB1552" si="221">B1552&amp;C1552</f>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ref="S1553:S1584" si="222">IF(B1553="","",IF(ISERROR(MATCH($E1553,CL,0)),"Unknown",INDIRECT("'C'!$A$"&amp;MATCH($E1553,CL,0)+1)))</f>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ref="X1553:X1584" si="223">IF(AND(C1553="Smelter not listed",OR(LEN(D1553)=0,LEN(E1553)=0)),1,0)</f>
        <v>0</v>
      </c>
      <c r="AB1553" s="162" t="str">
        <f ca="1" t="shared" ref="AB1553:AB1584" si="224">B1553&amp;C1553</f>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2"/>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3"/>
        <v>0</v>
      </c>
      <c r="AB1554" s="162" t="str">
        <f ca="1" t="shared" si="224"/>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2"/>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3"/>
        <v>0</v>
      </c>
      <c r="AB1555" s="162" t="str">
        <f ca="1" t="shared" si="224"/>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2"/>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3"/>
        <v>0</v>
      </c>
      <c r="AB1556" s="162" t="str">
        <f ca="1" t="shared" si="224"/>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2"/>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3"/>
        <v>0</v>
      </c>
      <c r="AB1557" s="162" t="str">
        <f ca="1" t="shared" si="224"/>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2"/>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3"/>
        <v>0</v>
      </c>
      <c r="AB1558" s="162" t="str">
        <f ca="1" t="shared" si="224"/>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2"/>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3"/>
        <v>0</v>
      </c>
      <c r="AB1559" s="162" t="str">
        <f ca="1" t="shared" si="224"/>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2"/>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3"/>
        <v>0</v>
      </c>
      <c r="AB1560" s="162" t="str">
        <f ca="1" t="shared" si="224"/>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2"/>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3"/>
        <v>0</v>
      </c>
      <c r="AB1561" s="162" t="str">
        <f ca="1" t="shared" si="224"/>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2"/>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3"/>
        <v>0</v>
      </c>
      <c r="AB1562" s="162" t="str">
        <f ca="1" t="shared" si="224"/>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2"/>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3"/>
        <v>0</v>
      </c>
      <c r="AB1563" s="162" t="str">
        <f ca="1" t="shared" si="224"/>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2"/>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3"/>
        <v>0</v>
      </c>
      <c r="AB1564" s="162" t="str">
        <f ca="1" t="shared" si="224"/>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2"/>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3"/>
        <v>0</v>
      </c>
      <c r="AB1565" s="162" t="str">
        <f ca="1" t="shared" si="224"/>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2"/>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3"/>
        <v>0</v>
      </c>
      <c r="AB1566" s="162" t="str">
        <f ca="1" t="shared" si="224"/>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2"/>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3"/>
        <v>0</v>
      </c>
      <c r="AB1567" s="162" t="str">
        <f ca="1" t="shared" si="224"/>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2"/>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3"/>
        <v>0</v>
      </c>
      <c r="AB1568" s="162" t="str">
        <f ca="1" t="shared" si="224"/>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2"/>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3"/>
        <v>0</v>
      </c>
      <c r="AB1569" s="162" t="str">
        <f ca="1" t="shared" si="224"/>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2"/>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3"/>
        <v>0</v>
      </c>
      <c r="AB1570" s="162" t="str">
        <f ca="1" t="shared" si="224"/>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2"/>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3"/>
        <v>0</v>
      </c>
      <c r="AB1571" s="162" t="str">
        <f ca="1" t="shared" si="224"/>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2"/>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3"/>
        <v>0</v>
      </c>
      <c r="AB1572" s="162" t="str">
        <f ca="1" t="shared" si="224"/>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2"/>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3"/>
        <v>0</v>
      </c>
      <c r="AB1573" s="162" t="str">
        <f ca="1" t="shared" si="224"/>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2"/>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3"/>
        <v>0</v>
      </c>
      <c r="AB1574" s="162" t="str">
        <f ca="1" t="shared" si="224"/>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2"/>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3"/>
        <v>0</v>
      </c>
      <c r="AB1575" s="162" t="str">
        <f ca="1" t="shared" si="224"/>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2"/>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3"/>
        <v>0</v>
      </c>
      <c r="AB1576" s="162" t="str">
        <f ca="1" t="shared" si="224"/>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2"/>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3"/>
        <v>0</v>
      </c>
      <c r="AB1577" s="162" t="str">
        <f ca="1" t="shared" si="224"/>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2"/>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3"/>
        <v>0</v>
      </c>
      <c r="AB1578" s="162" t="str">
        <f ca="1" t="shared" si="224"/>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2"/>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3"/>
        <v>0</v>
      </c>
      <c r="AB1579" s="162" t="str">
        <f ca="1" t="shared" si="224"/>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2"/>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3"/>
        <v>0</v>
      </c>
      <c r="AB1580" s="162" t="str">
        <f ca="1" t="shared" si="224"/>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2"/>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3"/>
        <v>0</v>
      </c>
      <c r="AB1581" s="162" t="str">
        <f ca="1" t="shared" si="224"/>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2"/>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3"/>
        <v>0</v>
      </c>
      <c r="AB1582" s="162" t="str">
        <f ca="1" t="shared" si="224"/>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2"/>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3"/>
        <v>0</v>
      </c>
      <c r="AB1583" s="162" t="str">
        <f ca="1" t="shared" si="224"/>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2"/>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3"/>
        <v>0</v>
      </c>
      <c r="AB1584" s="162" t="str">
        <f ca="1" t="shared" si="224"/>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ref="S1585:S1615" si="225">IF(B1585="","",IF(ISERROR(MATCH($E1585,CL,0)),"Unknown",INDIRECT("'C'!$A$"&amp;MATCH($E1585,CL,0)+1)))</f>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ref="X1585:X1615" si="226">IF(AND(C1585="Smelter not listed",OR(LEN(D1585)=0,LEN(E1585)=0)),1,0)</f>
        <v>0</v>
      </c>
      <c r="AB1585" s="162" t="str">
        <f ca="1" t="shared" ref="AB1585:AB1615" si="227">B1585&amp;C1585</f>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5"/>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6"/>
        <v>0</v>
      </c>
      <c r="AB1586" s="162" t="str">
        <f ca="1" t="shared" si="227"/>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5"/>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6"/>
        <v>0</v>
      </c>
      <c r="AB1587" s="162" t="str">
        <f ca="1" t="shared" si="227"/>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5"/>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6"/>
        <v>0</v>
      </c>
      <c r="AB1588" s="162" t="str">
        <f ca="1" t="shared" si="227"/>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5"/>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6"/>
        <v>0</v>
      </c>
      <c r="AB1589" s="162" t="str">
        <f ca="1" t="shared" si="227"/>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5"/>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6"/>
        <v>0</v>
      </c>
      <c r="AB1590" s="162" t="str">
        <f ca="1" t="shared" si="227"/>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5"/>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6"/>
        <v>0</v>
      </c>
      <c r="AB1591" s="162" t="str">
        <f ca="1" t="shared" si="227"/>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5"/>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6"/>
        <v>0</v>
      </c>
      <c r="AB1592" s="162" t="str">
        <f ca="1" t="shared" si="227"/>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5"/>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6"/>
        <v>0</v>
      </c>
      <c r="AB1593" s="162" t="str">
        <f ca="1" t="shared" si="227"/>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5"/>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6"/>
        <v>0</v>
      </c>
      <c r="AB1594" s="162" t="str">
        <f ca="1" t="shared" si="227"/>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5"/>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6"/>
        <v>0</v>
      </c>
      <c r="AB1595" s="162" t="str">
        <f ca="1" t="shared" si="227"/>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5"/>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6"/>
        <v>0</v>
      </c>
      <c r="AB1596" s="162" t="str">
        <f ca="1" t="shared" si="227"/>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5"/>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6"/>
        <v>0</v>
      </c>
      <c r="AB1597" s="162" t="str">
        <f ca="1" t="shared" si="227"/>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5"/>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6"/>
        <v>0</v>
      </c>
      <c r="AB1598" s="162" t="str">
        <f ca="1" t="shared" si="227"/>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5"/>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6"/>
        <v>0</v>
      </c>
      <c r="AB1599" s="162" t="str">
        <f ca="1" t="shared" si="227"/>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5"/>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6"/>
        <v>0</v>
      </c>
      <c r="AB1600" s="162" t="str">
        <f ca="1" t="shared" si="227"/>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5"/>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6"/>
        <v>0</v>
      </c>
      <c r="AB1601" s="162" t="str">
        <f ca="1" t="shared" si="227"/>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5"/>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6"/>
        <v>0</v>
      </c>
      <c r="AB1602" s="162" t="str">
        <f ca="1" t="shared" si="227"/>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5"/>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6"/>
        <v>0</v>
      </c>
      <c r="AB1603" s="162" t="str">
        <f ca="1" t="shared" si="227"/>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5"/>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6"/>
        <v>0</v>
      </c>
      <c r="AB1604" s="162" t="str">
        <f ca="1" t="shared" si="227"/>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5"/>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6"/>
        <v>0</v>
      </c>
      <c r="AB1605" s="162" t="str">
        <f ca="1" t="shared" si="227"/>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5"/>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6"/>
        <v>0</v>
      </c>
      <c r="AB1606" s="162" t="str">
        <f ca="1" t="shared" si="227"/>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5"/>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6"/>
        <v>0</v>
      </c>
      <c r="AB1607" s="162" t="str">
        <f ca="1" t="shared" si="227"/>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5"/>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6"/>
        <v>0</v>
      </c>
      <c r="AB1608" s="162" t="str">
        <f ca="1" t="shared" si="227"/>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5"/>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6"/>
        <v>0</v>
      </c>
      <c r="AB1609" s="162" t="str">
        <f ca="1" t="shared" si="227"/>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5"/>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6"/>
        <v>0</v>
      </c>
      <c r="AB1610" s="162" t="str">
        <f ca="1" t="shared" si="227"/>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5"/>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6"/>
        <v>0</v>
      </c>
      <c r="AB1611" s="162" t="str">
        <f ca="1" t="shared" si="227"/>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5"/>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6"/>
        <v>0</v>
      </c>
      <c r="AB1612" s="162" t="str">
        <f ca="1" t="shared" si="227"/>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5"/>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6"/>
        <v>0</v>
      </c>
      <c r="AB1613" s="162" t="str">
        <f ca="1" t="shared" si="227"/>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5"/>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6"/>
        <v>0</v>
      </c>
      <c r="AB1614" s="162" t="str">
        <f ca="1" t="shared" si="227"/>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5"/>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6"/>
        <v>0</v>
      </c>
      <c r="AB1615" s="162" t="str">
        <f ca="1" t="shared" si="227"/>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ref="S1616" si="228">IF(B1616="","",IF(ISERROR(MATCH($E1616,CL,0)),"Unknown",INDIRECT("'C'!$A$"&amp;MATCH($E1616,CL,0)+1)))</f>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ref="X1616" si="229">IF(AND(C1616="Smelter not listed",OR(LEN(D1616)=0,LEN(E1616)=0)),1,0)</f>
        <v>0</v>
      </c>
      <c r="AB1616" s="162" t="str">
        <f ca="1" t="shared" ref="AB1616" si="230">B1616&amp;C1616</f>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ref="S1617:S1648" si="231">IF(B1617="","",IF(ISERROR(MATCH($E1617,CL,0)),"Unknown",INDIRECT("'C'!$A$"&amp;MATCH($E1617,CL,0)+1)))</f>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ref="X1617:X1648" si="232">IF(AND(C1617="Smelter not listed",OR(LEN(D1617)=0,LEN(E1617)=0)),1,0)</f>
        <v>0</v>
      </c>
      <c r="AB1617" s="162" t="str">
        <f ca="1" t="shared" ref="AB1617:AB1648" si="233">B1617&amp;C1617</f>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31"/>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2"/>
        <v>0</v>
      </c>
      <c r="AB1618" s="162" t="str">
        <f ca="1" t="shared" si="233"/>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31"/>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2"/>
        <v>0</v>
      </c>
      <c r="AB1619" s="162" t="str">
        <f ca="1" t="shared" si="233"/>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31"/>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2"/>
        <v>0</v>
      </c>
      <c r="AB1620" s="162" t="str">
        <f ca="1" t="shared" si="233"/>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31"/>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2"/>
        <v>0</v>
      </c>
      <c r="AB1621" s="162" t="str">
        <f ca="1" t="shared" si="233"/>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31"/>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2"/>
        <v>0</v>
      </c>
      <c r="AB1622" s="162" t="str">
        <f ca="1" t="shared" si="233"/>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31"/>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2"/>
        <v>0</v>
      </c>
      <c r="AB1623" s="162" t="str">
        <f ca="1" t="shared" si="233"/>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31"/>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2"/>
        <v>0</v>
      </c>
      <c r="AB1624" s="162" t="str">
        <f ca="1" t="shared" si="233"/>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1"/>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2"/>
        <v>0</v>
      </c>
      <c r="AB1625" s="162" t="str">
        <f ca="1" t="shared" si="233"/>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1"/>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2"/>
        <v>0</v>
      </c>
      <c r="AB1626" s="162" t="str">
        <f ca="1" t="shared" si="233"/>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1"/>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2"/>
        <v>0</v>
      </c>
      <c r="AB1627" s="162" t="str">
        <f ca="1" t="shared" si="233"/>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1"/>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2"/>
        <v>0</v>
      </c>
      <c r="AB1628" s="162" t="str">
        <f ca="1" t="shared" si="233"/>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1"/>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2"/>
        <v>0</v>
      </c>
      <c r="AB1629" s="162" t="str">
        <f ca="1" t="shared" si="233"/>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1"/>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2"/>
        <v>0</v>
      </c>
      <c r="AB1630" s="162" t="str">
        <f ca="1" t="shared" si="233"/>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1"/>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2"/>
        <v>0</v>
      </c>
      <c r="AB1631" s="162" t="str">
        <f ca="1" t="shared" si="233"/>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1"/>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2"/>
        <v>0</v>
      </c>
      <c r="AB1632" s="162" t="str">
        <f ca="1" t="shared" si="233"/>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1"/>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2"/>
        <v>0</v>
      </c>
      <c r="AB1633" s="162" t="str">
        <f ca="1" t="shared" si="233"/>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1"/>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2"/>
        <v>0</v>
      </c>
      <c r="AB1634" s="162" t="str">
        <f ca="1" t="shared" si="233"/>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1"/>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2"/>
        <v>0</v>
      </c>
      <c r="AB1635" s="162" t="str">
        <f ca="1" t="shared" si="233"/>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1"/>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2"/>
        <v>0</v>
      </c>
      <c r="AB1636" s="162" t="str">
        <f ca="1" t="shared" si="233"/>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1"/>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2"/>
        <v>0</v>
      </c>
      <c r="AB1637" s="162" t="str">
        <f ca="1" t="shared" si="233"/>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1"/>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2"/>
        <v>0</v>
      </c>
      <c r="AB1638" s="162" t="str">
        <f ca="1" t="shared" si="233"/>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1"/>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2"/>
        <v>0</v>
      </c>
      <c r="AB1639" s="162" t="str">
        <f ca="1" t="shared" si="233"/>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1"/>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2"/>
        <v>0</v>
      </c>
      <c r="AB1640" s="162" t="str">
        <f ca="1" t="shared" si="233"/>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1"/>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2"/>
        <v>0</v>
      </c>
      <c r="AB1641" s="162" t="str">
        <f ca="1" t="shared" si="233"/>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1"/>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2"/>
        <v>0</v>
      </c>
      <c r="AB1642" s="162" t="str">
        <f ca="1" t="shared" si="233"/>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1"/>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2"/>
        <v>0</v>
      </c>
      <c r="AB1643" s="162" t="str">
        <f ca="1" t="shared" si="233"/>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1"/>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2"/>
        <v>0</v>
      </c>
      <c r="AB1644" s="162" t="str">
        <f ca="1" t="shared" si="233"/>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1"/>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2"/>
        <v>0</v>
      </c>
      <c r="AB1645" s="162" t="str">
        <f ca="1" t="shared" si="233"/>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1"/>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2"/>
        <v>0</v>
      </c>
      <c r="AB1646" s="162" t="str">
        <f ca="1" t="shared" si="233"/>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1"/>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2"/>
        <v>0</v>
      </c>
      <c r="AB1647" s="162" t="str">
        <f ca="1" t="shared" si="233"/>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1"/>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2"/>
        <v>0</v>
      </c>
      <c r="AB1648" s="162" t="str">
        <f ca="1" t="shared" si="233"/>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ref="S1649:S1679" si="234">IF(B1649="","",IF(ISERROR(MATCH($E1649,CL,0)),"Unknown",INDIRECT("'C'!$A$"&amp;MATCH($E1649,CL,0)+1)))</f>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ref="X1649:X1679" si="235">IF(AND(C1649="Smelter not listed",OR(LEN(D1649)=0,LEN(E1649)=0)),1,0)</f>
        <v>0</v>
      </c>
      <c r="AB1649" s="162" t="str">
        <f ca="1" t="shared" ref="AB1649:AB1679" si="236">B1649&amp;C1649</f>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4"/>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5"/>
        <v>0</v>
      </c>
      <c r="AB1650" s="162" t="str">
        <f ca="1" t="shared" si="236"/>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4"/>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5"/>
        <v>0</v>
      </c>
      <c r="AB1651" s="162" t="str">
        <f ca="1" t="shared" si="236"/>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4"/>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5"/>
        <v>0</v>
      </c>
      <c r="AB1652" s="162" t="str">
        <f ca="1" t="shared" si="236"/>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4"/>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5"/>
        <v>0</v>
      </c>
      <c r="AB1653" s="162" t="str">
        <f ca="1" t="shared" si="236"/>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4"/>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5"/>
        <v>0</v>
      </c>
      <c r="AB1654" s="162" t="str">
        <f ca="1" t="shared" si="236"/>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4"/>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5"/>
        <v>0</v>
      </c>
      <c r="AB1655" s="162" t="str">
        <f ca="1" t="shared" si="236"/>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4"/>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5"/>
        <v>0</v>
      </c>
      <c r="AB1656" s="162" t="str">
        <f ca="1" t="shared" si="236"/>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4"/>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5"/>
        <v>0</v>
      </c>
      <c r="AB1657" s="162" t="str">
        <f ca="1" t="shared" si="236"/>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4"/>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5"/>
        <v>0</v>
      </c>
      <c r="AB1658" s="162" t="str">
        <f ca="1" t="shared" si="236"/>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4"/>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5"/>
        <v>0</v>
      </c>
      <c r="AB1659" s="162" t="str">
        <f ca="1" t="shared" si="236"/>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4"/>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5"/>
        <v>0</v>
      </c>
      <c r="AB1660" s="162" t="str">
        <f ca="1" t="shared" si="236"/>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4"/>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5"/>
        <v>0</v>
      </c>
      <c r="AB1661" s="162" t="str">
        <f ca="1" t="shared" si="236"/>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4"/>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5"/>
        <v>0</v>
      </c>
      <c r="AB1662" s="162" t="str">
        <f ca="1" t="shared" si="236"/>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4"/>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5"/>
        <v>0</v>
      </c>
      <c r="AB1663" s="162" t="str">
        <f ca="1" t="shared" si="236"/>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4"/>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5"/>
        <v>0</v>
      </c>
      <c r="AB1664" s="162" t="str">
        <f ca="1" t="shared" si="236"/>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4"/>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5"/>
        <v>0</v>
      </c>
      <c r="AB1665" s="162" t="str">
        <f ca="1" t="shared" si="236"/>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4"/>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5"/>
        <v>0</v>
      </c>
      <c r="AB1666" s="162" t="str">
        <f ca="1" t="shared" si="236"/>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4"/>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5"/>
        <v>0</v>
      </c>
      <c r="AB1667" s="162" t="str">
        <f ca="1" t="shared" si="236"/>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4"/>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5"/>
        <v>0</v>
      </c>
      <c r="AB1668" s="162" t="str">
        <f ca="1" t="shared" si="236"/>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4"/>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5"/>
        <v>0</v>
      </c>
      <c r="AB1669" s="162" t="str">
        <f ca="1" t="shared" si="236"/>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4"/>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5"/>
        <v>0</v>
      </c>
      <c r="AB1670" s="162" t="str">
        <f ca="1" t="shared" si="236"/>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4"/>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5"/>
        <v>0</v>
      </c>
      <c r="AB1671" s="162" t="str">
        <f ca="1" t="shared" si="236"/>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4"/>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5"/>
        <v>0</v>
      </c>
      <c r="AB1672" s="162" t="str">
        <f ca="1" t="shared" si="236"/>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4"/>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5"/>
        <v>0</v>
      </c>
      <c r="AB1673" s="162" t="str">
        <f ca="1" t="shared" si="236"/>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4"/>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5"/>
        <v>0</v>
      </c>
      <c r="AB1674" s="162" t="str">
        <f ca="1" t="shared" si="236"/>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4"/>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5"/>
        <v>0</v>
      </c>
      <c r="AB1675" s="162" t="str">
        <f ca="1" t="shared" si="236"/>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4"/>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5"/>
        <v>0</v>
      </c>
      <c r="AB1676" s="162" t="str">
        <f ca="1" t="shared" si="236"/>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4"/>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5"/>
        <v>0</v>
      </c>
      <c r="AB1677" s="162" t="str">
        <f ca="1" t="shared" si="236"/>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4"/>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5"/>
        <v>0</v>
      </c>
      <c r="AB1678" s="162" t="str">
        <f ca="1" t="shared" si="236"/>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4"/>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5"/>
        <v>0</v>
      </c>
      <c r="AB1679" s="162" t="str">
        <f ca="1" t="shared" si="236"/>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ref="S1680" si="237">IF(B1680="","",IF(ISERROR(MATCH($E1680,CL,0)),"Unknown",INDIRECT("'C'!$A$"&amp;MATCH($E1680,CL,0)+1)))</f>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ref="X1680" si="238">IF(AND(C1680="Smelter not listed",OR(LEN(D1680)=0,LEN(E1680)=0)),1,0)</f>
        <v>0</v>
      </c>
      <c r="AB1680" s="162" t="str">
        <f ca="1" t="shared" ref="AB1680" si="239">B1680&amp;C1680</f>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ref="S1681:S1712" si="240">IF(B1681="","",IF(ISERROR(MATCH($E1681,CL,0)),"Unknown",INDIRECT("'C'!$A$"&amp;MATCH($E1681,CL,0)+1)))</f>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ref="X1681:X1712" si="241">IF(AND(C1681="Smelter not listed",OR(LEN(D1681)=0,LEN(E1681)=0)),1,0)</f>
        <v>0</v>
      </c>
      <c r="AB1681" s="162" t="str">
        <f ca="1" t="shared" ref="AB1681:AB1712" si="242">B1681&amp;C1681</f>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40"/>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41"/>
        <v>0</v>
      </c>
      <c r="AB1682" s="162" t="str">
        <f ca="1" t="shared" si="242"/>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40"/>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41"/>
        <v>0</v>
      </c>
      <c r="AB1683" s="162" t="str">
        <f ca="1" t="shared" si="242"/>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40"/>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41"/>
        <v>0</v>
      </c>
      <c r="AB1684" s="162" t="str">
        <f ca="1" t="shared" si="242"/>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40"/>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41"/>
        <v>0</v>
      </c>
      <c r="AB1685" s="162" t="str">
        <f ca="1" t="shared" si="242"/>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40"/>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41"/>
        <v>0</v>
      </c>
      <c r="AB1686" s="162" t="str">
        <f ca="1" t="shared" si="242"/>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40"/>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41"/>
        <v>0</v>
      </c>
      <c r="AB1687" s="162" t="str">
        <f ca="1" t="shared" si="242"/>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40"/>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41"/>
        <v>0</v>
      </c>
      <c r="AB1688" s="162" t="str">
        <f ca="1" t="shared" si="242"/>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0"/>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1"/>
        <v>0</v>
      </c>
      <c r="AB1689" s="162" t="str">
        <f ca="1" t="shared" si="242"/>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0"/>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1"/>
        <v>0</v>
      </c>
      <c r="AB1690" s="162" t="str">
        <f ca="1" t="shared" si="242"/>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0"/>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1"/>
        <v>0</v>
      </c>
      <c r="AB1691" s="162" t="str">
        <f ca="1" t="shared" si="242"/>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0"/>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1"/>
        <v>0</v>
      </c>
      <c r="AB1692" s="162" t="str">
        <f ca="1" t="shared" si="242"/>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0"/>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1"/>
        <v>0</v>
      </c>
      <c r="AB1693" s="162" t="str">
        <f ca="1" t="shared" si="242"/>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0"/>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1"/>
        <v>0</v>
      </c>
      <c r="AB1694" s="162" t="str">
        <f ca="1" t="shared" si="242"/>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0"/>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1"/>
        <v>0</v>
      </c>
      <c r="AB1695" s="162" t="str">
        <f ca="1" t="shared" si="242"/>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0"/>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1"/>
        <v>0</v>
      </c>
      <c r="AB1696" s="162" t="str">
        <f ca="1" t="shared" si="242"/>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0"/>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1"/>
        <v>0</v>
      </c>
      <c r="AB1697" s="162" t="str">
        <f ca="1" t="shared" si="242"/>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0"/>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1"/>
        <v>0</v>
      </c>
      <c r="AB1698" s="162" t="str">
        <f ca="1" t="shared" si="242"/>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0"/>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1"/>
        <v>0</v>
      </c>
      <c r="AB1699" s="162" t="str">
        <f ca="1" t="shared" si="242"/>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0"/>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1"/>
        <v>0</v>
      </c>
      <c r="AB1700" s="162" t="str">
        <f ca="1" t="shared" si="242"/>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0"/>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1"/>
        <v>0</v>
      </c>
      <c r="AB1701" s="162" t="str">
        <f ca="1" t="shared" si="242"/>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0"/>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1"/>
        <v>0</v>
      </c>
      <c r="AB1702" s="162" t="str">
        <f ca="1" t="shared" si="242"/>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0"/>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1"/>
        <v>0</v>
      </c>
      <c r="AB1703" s="162" t="str">
        <f ca="1" t="shared" si="242"/>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0"/>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1"/>
        <v>0</v>
      </c>
      <c r="AB1704" s="162" t="str">
        <f ca="1" t="shared" si="242"/>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0"/>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1"/>
        <v>0</v>
      </c>
      <c r="AB1705" s="162" t="str">
        <f ca="1" t="shared" si="242"/>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0"/>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1"/>
        <v>0</v>
      </c>
      <c r="AB1706" s="162" t="str">
        <f ca="1" t="shared" si="242"/>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0"/>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1"/>
        <v>0</v>
      </c>
      <c r="AB1707" s="162" t="str">
        <f ca="1" t="shared" si="242"/>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0"/>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1"/>
        <v>0</v>
      </c>
      <c r="AB1708" s="162" t="str">
        <f ca="1" t="shared" si="242"/>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0"/>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1"/>
        <v>0</v>
      </c>
      <c r="AB1709" s="162" t="str">
        <f ca="1" t="shared" si="242"/>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0"/>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1"/>
        <v>0</v>
      </c>
      <c r="AB1710" s="162" t="str">
        <f ca="1" t="shared" si="242"/>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0"/>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1"/>
        <v>0</v>
      </c>
      <c r="AB1711" s="162" t="str">
        <f ca="1" t="shared" si="242"/>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0"/>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1"/>
        <v>0</v>
      </c>
      <c r="AB1712" s="162" t="str">
        <f ca="1" t="shared" si="242"/>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ref="S1713:S1743" si="243">IF(B1713="","",IF(ISERROR(MATCH($E1713,CL,0)),"Unknown",INDIRECT("'C'!$A$"&amp;MATCH($E1713,CL,0)+1)))</f>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ref="X1713:X1743" si="244">IF(AND(C1713="Smelter not listed",OR(LEN(D1713)=0,LEN(E1713)=0)),1,0)</f>
        <v>0</v>
      </c>
      <c r="AB1713" s="162" t="str">
        <f ca="1" t="shared" ref="AB1713:AB1743" si="245">B1713&amp;C1713</f>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3"/>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4"/>
        <v>0</v>
      </c>
      <c r="AB1714" s="162" t="str">
        <f ca="1" t="shared" si="245"/>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3"/>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4"/>
        <v>0</v>
      </c>
      <c r="AB1715" s="162" t="str">
        <f ca="1" t="shared" si="245"/>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3"/>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4"/>
        <v>0</v>
      </c>
      <c r="AB1716" s="162" t="str">
        <f ca="1" t="shared" si="245"/>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3"/>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4"/>
        <v>0</v>
      </c>
      <c r="AB1717" s="162" t="str">
        <f ca="1" t="shared" si="245"/>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3"/>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4"/>
        <v>0</v>
      </c>
      <c r="AB1718" s="162" t="str">
        <f ca="1" t="shared" si="245"/>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3"/>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4"/>
        <v>0</v>
      </c>
      <c r="AB1719" s="162" t="str">
        <f ca="1" t="shared" si="245"/>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3"/>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4"/>
        <v>0</v>
      </c>
      <c r="AB1720" s="162" t="str">
        <f ca="1" t="shared" si="245"/>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3"/>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4"/>
        <v>0</v>
      </c>
      <c r="AB1721" s="162" t="str">
        <f ca="1" t="shared" si="245"/>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3"/>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4"/>
        <v>0</v>
      </c>
      <c r="AB1722" s="162" t="str">
        <f ca="1" t="shared" si="245"/>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3"/>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4"/>
        <v>0</v>
      </c>
      <c r="AB1723" s="162" t="str">
        <f ca="1" t="shared" si="245"/>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3"/>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4"/>
        <v>0</v>
      </c>
      <c r="AB1724" s="162" t="str">
        <f ca="1" t="shared" si="245"/>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3"/>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4"/>
        <v>0</v>
      </c>
      <c r="AB1725" s="162" t="str">
        <f ca="1" t="shared" si="245"/>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3"/>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4"/>
        <v>0</v>
      </c>
      <c r="AB1726" s="162" t="str">
        <f ca="1" t="shared" si="245"/>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3"/>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4"/>
        <v>0</v>
      </c>
      <c r="AB1727" s="162" t="str">
        <f ca="1" t="shared" si="245"/>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3"/>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4"/>
        <v>0</v>
      </c>
      <c r="AB1728" s="162" t="str">
        <f ca="1" t="shared" si="245"/>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3"/>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4"/>
        <v>0</v>
      </c>
      <c r="AB1729" s="162" t="str">
        <f ca="1" t="shared" si="245"/>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3"/>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4"/>
        <v>0</v>
      </c>
      <c r="AB1730" s="162" t="str">
        <f ca="1" t="shared" si="245"/>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3"/>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4"/>
        <v>0</v>
      </c>
      <c r="AB1731" s="162" t="str">
        <f ca="1" t="shared" si="245"/>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3"/>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4"/>
        <v>0</v>
      </c>
      <c r="AB1732" s="162" t="str">
        <f ca="1" t="shared" si="245"/>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3"/>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4"/>
        <v>0</v>
      </c>
      <c r="AB1733" s="162" t="str">
        <f ca="1" t="shared" si="245"/>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3"/>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4"/>
        <v>0</v>
      </c>
      <c r="AB1734" s="162" t="str">
        <f ca="1" t="shared" si="245"/>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3"/>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4"/>
        <v>0</v>
      </c>
      <c r="AB1735" s="162" t="str">
        <f ca="1" t="shared" si="245"/>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3"/>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4"/>
        <v>0</v>
      </c>
      <c r="AB1736" s="162" t="str">
        <f ca="1" t="shared" si="245"/>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3"/>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4"/>
        <v>0</v>
      </c>
      <c r="AB1737" s="162" t="str">
        <f ca="1" t="shared" si="245"/>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3"/>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4"/>
        <v>0</v>
      </c>
      <c r="AB1738" s="162" t="str">
        <f ca="1" t="shared" si="245"/>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3"/>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4"/>
        <v>0</v>
      </c>
      <c r="AB1739" s="162" t="str">
        <f ca="1" t="shared" si="245"/>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3"/>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4"/>
        <v>0</v>
      </c>
      <c r="AB1740" s="162" t="str">
        <f ca="1" t="shared" si="245"/>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3"/>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4"/>
        <v>0</v>
      </c>
      <c r="AB1741" s="162" t="str">
        <f ca="1" t="shared" si="245"/>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3"/>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4"/>
        <v>0</v>
      </c>
      <c r="AB1742" s="162" t="str">
        <f ca="1" t="shared" si="245"/>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3"/>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4"/>
        <v>0</v>
      </c>
      <c r="AB1743" s="162" t="str">
        <f ca="1" t="shared" si="245"/>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ref="S1744" si="246">IF(B1744="","",IF(ISERROR(MATCH($E1744,CL,0)),"Unknown",INDIRECT("'C'!$A$"&amp;MATCH($E1744,CL,0)+1)))</f>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ref="X1744" si="247">IF(AND(C1744="Smelter not listed",OR(LEN(D1744)=0,LEN(E1744)=0)),1,0)</f>
        <v>0</v>
      </c>
      <c r="AB1744" s="162" t="str">
        <f ca="1" t="shared" ref="AB1744" si="248">B1744&amp;C1744</f>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ref="S1745:S1776" si="249">IF(B1745="","",IF(ISERROR(MATCH($E1745,CL,0)),"Unknown",INDIRECT("'C'!$A$"&amp;MATCH($E1745,CL,0)+1)))</f>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ref="X1745:X1776" si="250">IF(AND(C1745="Smelter not listed",OR(LEN(D1745)=0,LEN(E1745)=0)),1,0)</f>
        <v>0</v>
      </c>
      <c r="AB1745" s="162" t="str">
        <f ca="1" t="shared" ref="AB1745:AB1776" si="251">B1745&amp;C1745</f>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9"/>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50"/>
        <v>0</v>
      </c>
      <c r="AB1746" s="162" t="str">
        <f ca="1" t="shared" si="251"/>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9"/>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50"/>
        <v>0</v>
      </c>
      <c r="AB1747" s="162" t="str">
        <f ca="1" t="shared" si="251"/>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9"/>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50"/>
        <v>0</v>
      </c>
      <c r="AB1748" s="162" t="str">
        <f ca="1" t="shared" si="251"/>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9"/>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50"/>
        <v>0</v>
      </c>
      <c r="AB1749" s="162" t="str">
        <f ca="1" t="shared" si="251"/>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9"/>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50"/>
        <v>0</v>
      </c>
      <c r="AB1750" s="162" t="str">
        <f ca="1" t="shared" si="251"/>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9"/>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50"/>
        <v>0</v>
      </c>
      <c r="AB1751" s="162" t="str">
        <f ca="1" t="shared" si="251"/>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9"/>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50"/>
        <v>0</v>
      </c>
      <c r="AB1752" s="162" t="str">
        <f ca="1" t="shared" si="251"/>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9"/>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0"/>
        <v>0</v>
      </c>
      <c r="AB1753" s="162" t="str">
        <f ca="1" t="shared" si="251"/>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9"/>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0"/>
        <v>0</v>
      </c>
      <c r="AB1754" s="162" t="str">
        <f ca="1" t="shared" si="251"/>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9"/>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0"/>
        <v>0</v>
      </c>
      <c r="AB1755" s="162" t="str">
        <f ca="1" t="shared" si="251"/>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9"/>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0"/>
        <v>0</v>
      </c>
      <c r="AB1756" s="162" t="str">
        <f ca="1" t="shared" si="251"/>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9"/>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0"/>
        <v>0</v>
      </c>
      <c r="AB1757" s="162" t="str">
        <f ca="1" t="shared" si="251"/>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9"/>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0"/>
        <v>0</v>
      </c>
      <c r="AB1758" s="162" t="str">
        <f ca="1" t="shared" si="251"/>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9"/>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0"/>
        <v>0</v>
      </c>
      <c r="AB1759" s="162" t="str">
        <f ca="1" t="shared" si="251"/>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9"/>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0"/>
        <v>0</v>
      </c>
      <c r="AB1760" s="162" t="str">
        <f ca="1" t="shared" si="251"/>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9"/>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0"/>
        <v>0</v>
      </c>
      <c r="AB1761" s="162" t="str">
        <f ca="1" t="shared" si="251"/>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9"/>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0"/>
        <v>0</v>
      </c>
      <c r="AB1762" s="162" t="str">
        <f ca="1" t="shared" si="251"/>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9"/>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0"/>
        <v>0</v>
      </c>
      <c r="AB1763" s="162" t="str">
        <f ca="1" t="shared" si="251"/>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9"/>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0"/>
        <v>0</v>
      </c>
      <c r="AB1764" s="162" t="str">
        <f ca="1" t="shared" si="251"/>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9"/>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0"/>
        <v>0</v>
      </c>
      <c r="AB1765" s="162" t="str">
        <f ca="1" t="shared" si="251"/>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9"/>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0"/>
        <v>0</v>
      </c>
      <c r="AB1766" s="162" t="str">
        <f ca="1" t="shared" si="251"/>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9"/>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0"/>
        <v>0</v>
      </c>
      <c r="AB1767" s="162" t="str">
        <f ca="1" t="shared" si="251"/>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9"/>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0"/>
        <v>0</v>
      </c>
      <c r="AB1768" s="162" t="str">
        <f ca="1" t="shared" si="251"/>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9"/>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0"/>
        <v>0</v>
      </c>
      <c r="AB1769" s="162" t="str">
        <f ca="1" t="shared" si="251"/>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9"/>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0"/>
        <v>0</v>
      </c>
      <c r="AB1770" s="162" t="str">
        <f ca="1" t="shared" si="251"/>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9"/>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0"/>
        <v>0</v>
      </c>
      <c r="AB1771" s="162" t="str">
        <f ca="1" t="shared" si="251"/>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9"/>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0"/>
        <v>0</v>
      </c>
      <c r="AB1772" s="162" t="str">
        <f ca="1" t="shared" si="251"/>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9"/>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0"/>
        <v>0</v>
      </c>
      <c r="AB1773" s="162" t="str">
        <f ca="1" t="shared" si="251"/>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9"/>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0"/>
        <v>0</v>
      </c>
      <c r="AB1774" s="162" t="str">
        <f ca="1" t="shared" si="251"/>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9"/>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0"/>
        <v>0</v>
      </c>
      <c r="AB1775" s="162" t="str">
        <f ca="1" t="shared" si="251"/>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9"/>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0"/>
        <v>0</v>
      </c>
      <c r="AB1776" s="162" t="str">
        <f ca="1" t="shared" si="251"/>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ref="S1777:S1807" si="252">IF(B1777="","",IF(ISERROR(MATCH($E1777,CL,0)),"Unknown",INDIRECT("'C'!$A$"&amp;MATCH($E1777,CL,0)+1)))</f>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ref="X1777:X1807" si="253">IF(AND(C1777="Smelter not listed",OR(LEN(D1777)=0,LEN(E1777)=0)),1,0)</f>
        <v>0</v>
      </c>
      <c r="AB1777" s="162" t="str">
        <f ca="1" t="shared" ref="AB1777:AB1807" si="254">B1777&amp;C1777</f>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2"/>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3"/>
        <v>0</v>
      </c>
      <c r="AB1778" s="162" t="str">
        <f ca="1" t="shared" si="254"/>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2"/>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3"/>
        <v>0</v>
      </c>
      <c r="AB1779" s="162" t="str">
        <f ca="1" t="shared" si="254"/>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2"/>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3"/>
        <v>0</v>
      </c>
      <c r="AB1780" s="162" t="str">
        <f ca="1" t="shared" si="254"/>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2"/>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3"/>
        <v>0</v>
      </c>
      <c r="AB1781" s="162" t="str">
        <f ca="1" t="shared" si="254"/>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2"/>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3"/>
        <v>0</v>
      </c>
      <c r="AB1782" s="162" t="str">
        <f ca="1" t="shared" si="254"/>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2"/>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3"/>
        <v>0</v>
      </c>
      <c r="AB1783" s="162" t="str">
        <f ca="1" t="shared" si="254"/>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2"/>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3"/>
        <v>0</v>
      </c>
      <c r="AB1784" s="162" t="str">
        <f ca="1" t="shared" si="254"/>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2"/>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3"/>
        <v>0</v>
      </c>
      <c r="AB1785" s="162" t="str">
        <f ca="1" t="shared" si="254"/>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2"/>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3"/>
        <v>0</v>
      </c>
      <c r="AB1786" s="162" t="str">
        <f ca="1" t="shared" si="254"/>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2"/>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3"/>
        <v>0</v>
      </c>
      <c r="AB1787" s="162" t="str">
        <f ca="1" t="shared" si="254"/>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2"/>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3"/>
        <v>0</v>
      </c>
      <c r="AB1788" s="162" t="str">
        <f ca="1" t="shared" si="254"/>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2"/>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3"/>
        <v>0</v>
      </c>
      <c r="AB1789" s="162" t="str">
        <f ca="1" t="shared" si="254"/>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2"/>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3"/>
        <v>0</v>
      </c>
      <c r="AB1790" s="162" t="str">
        <f ca="1" t="shared" si="254"/>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2"/>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3"/>
        <v>0</v>
      </c>
      <c r="AB1791" s="162" t="str">
        <f ca="1" t="shared" si="254"/>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2"/>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3"/>
        <v>0</v>
      </c>
      <c r="AB1792" s="162" t="str">
        <f ca="1" t="shared" si="254"/>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2"/>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3"/>
        <v>0</v>
      </c>
      <c r="AB1793" s="162" t="str">
        <f ca="1" t="shared" si="254"/>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2"/>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3"/>
        <v>0</v>
      </c>
      <c r="AB1794" s="162" t="str">
        <f ca="1" t="shared" si="254"/>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2"/>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3"/>
        <v>0</v>
      </c>
      <c r="AB1795" s="162" t="str">
        <f ca="1" t="shared" si="254"/>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2"/>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3"/>
        <v>0</v>
      </c>
      <c r="AB1796" s="162" t="str">
        <f ca="1" t="shared" si="254"/>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2"/>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3"/>
        <v>0</v>
      </c>
      <c r="AB1797" s="162" t="str">
        <f ca="1" t="shared" si="254"/>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2"/>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3"/>
        <v>0</v>
      </c>
      <c r="AB1798" s="162" t="str">
        <f ca="1" t="shared" si="254"/>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2"/>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3"/>
        <v>0</v>
      </c>
      <c r="AB1799" s="162" t="str">
        <f ca="1" t="shared" si="254"/>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2"/>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3"/>
        <v>0</v>
      </c>
      <c r="AB1800" s="162" t="str">
        <f ca="1" t="shared" si="254"/>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2"/>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3"/>
        <v>0</v>
      </c>
      <c r="AB1801" s="162" t="str">
        <f ca="1" t="shared" si="254"/>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2"/>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3"/>
        <v>0</v>
      </c>
      <c r="AB1802" s="162" t="str">
        <f ca="1" t="shared" si="254"/>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2"/>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3"/>
        <v>0</v>
      </c>
      <c r="AB1803" s="162" t="str">
        <f ca="1" t="shared" si="254"/>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2"/>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3"/>
        <v>0</v>
      </c>
      <c r="AB1804" s="162" t="str">
        <f ca="1" t="shared" si="254"/>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2"/>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3"/>
        <v>0</v>
      </c>
      <c r="AB1805" s="162" t="str">
        <f ca="1" t="shared" si="254"/>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2"/>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3"/>
        <v>0</v>
      </c>
      <c r="AB1806" s="162" t="str">
        <f ca="1" t="shared" si="254"/>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2"/>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3"/>
        <v>0</v>
      </c>
      <c r="AB1807" s="162" t="str">
        <f ca="1" t="shared" si="254"/>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ref="S1808" si="255">IF(B1808="","",IF(ISERROR(MATCH($E1808,CL,0)),"Unknown",INDIRECT("'C'!$A$"&amp;MATCH($E1808,CL,0)+1)))</f>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ref="X1808" si="256">IF(AND(C1808="Smelter not listed",OR(LEN(D1808)=0,LEN(E1808)=0)),1,0)</f>
        <v>0</v>
      </c>
      <c r="AB1808" s="162" t="str">
        <f ca="1" t="shared" ref="AB1808" si="257">B1808&amp;C1808</f>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ref="S1809:S1840" si="258">IF(B1809="","",IF(ISERROR(MATCH($E1809,CL,0)),"Unknown",INDIRECT("'C'!$A$"&amp;MATCH($E1809,CL,0)+1)))</f>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ref="X1809:X1840" si="259">IF(AND(C1809="Smelter not listed",OR(LEN(D1809)=0,LEN(E1809)=0)),1,0)</f>
        <v>0</v>
      </c>
      <c r="AB1809" s="162" t="str">
        <f ca="1" t="shared" ref="AB1809:AB1840" si="260">B1809&amp;C1809</f>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8"/>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9"/>
        <v>0</v>
      </c>
      <c r="AB1810" s="162" t="str">
        <f ca="1" t="shared" si="260"/>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8"/>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9"/>
        <v>0</v>
      </c>
      <c r="AB1811" s="162" t="str">
        <f ca="1" t="shared" si="260"/>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8"/>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9"/>
        <v>0</v>
      </c>
      <c r="AB1812" s="162" t="str">
        <f ca="1" t="shared" si="260"/>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8"/>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9"/>
        <v>0</v>
      </c>
      <c r="AB1813" s="162" t="str">
        <f ca="1" t="shared" si="260"/>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8"/>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9"/>
        <v>0</v>
      </c>
      <c r="AB1814" s="162" t="str">
        <f ca="1" t="shared" si="260"/>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8"/>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9"/>
        <v>0</v>
      </c>
      <c r="AB1815" s="162" t="str">
        <f ca="1" t="shared" si="260"/>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8"/>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9"/>
        <v>0</v>
      </c>
      <c r="AB1816" s="162" t="str">
        <f ca="1" t="shared" si="260"/>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8"/>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9"/>
        <v>0</v>
      </c>
      <c r="AB1817" s="162" t="str">
        <f ca="1" t="shared" si="260"/>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8"/>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9"/>
        <v>0</v>
      </c>
      <c r="AB1818" s="162" t="str">
        <f ca="1" t="shared" si="260"/>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8"/>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9"/>
        <v>0</v>
      </c>
      <c r="AB1819" s="162" t="str">
        <f ca="1" t="shared" si="260"/>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8"/>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9"/>
        <v>0</v>
      </c>
      <c r="AB1820" s="162" t="str">
        <f ca="1" t="shared" si="260"/>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8"/>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9"/>
        <v>0</v>
      </c>
      <c r="AB1821" s="162" t="str">
        <f ca="1" t="shared" si="260"/>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8"/>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9"/>
        <v>0</v>
      </c>
      <c r="AB1822" s="162" t="str">
        <f ca="1" t="shared" si="260"/>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8"/>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9"/>
        <v>0</v>
      </c>
      <c r="AB1823" s="162" t="str">
        <f ca="1" t="shared" si="260"/>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8"/>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9"/>
        <v>0</v>
      </c>
      <c r="AB1824" s="162" t="str">
        <f ca="1" t="shared" si="260"/>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8"/>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9"/>
        <v>0</v>
      </c>
      <c r="AB1825" s="162" t="str">
        <f ca="1" t="shared" si="260"/>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8"/>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9"/>
        <v>0</v>
      </c>
      <c r="AB1826" s="162" t="str">
        <f ca="1" t="shared" si="260"/>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8"/>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9"/>
        <v>0</v>
      </c>
      <c r="AB1827" s="162" t="str">
        <f ca="1" t="shared" si="260"/>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8"/>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9"/>
        <v>0</v>
      </c>
      <c r="AB1828" s="162" t="str">
        <f ca="1" t="shared" si="260"/>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8"/>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9"/>
        <v>0</v>
      </c>
      <c r="AB1829" s="162" t="str">
        <f ca="1" t="shared" si="260"/>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8"/>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9"/>
        <v>0</v>
      </c>
      <c r="AB1830" s="162" t="str">
        <f ca="1" t="shared" si="260"/>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8"/>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9"/>
        <v>0</v>
      </c>
      <c r="AB1831" s="162" t="str">
        <f ca="1" t="shared" si="260"/>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8"/>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9"/>
        <v>0</v>
      </c>
      <c r="AB1832" s="162" t="str">
        <f ca="1" t="shared" si="260"/>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8"/>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9"/>
        <v>0</v>
      </c>
      <c r="AB1833" s="162" t="str">
        <f ca="1" t="shared" si="260"/>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8"/>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9"/>
        <v>0</v>
      </c>
      <c r="AB1834" s="162" t="str">
        <f ca="1" t="shared" si="260"/>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8"/>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9"/>
        <v>0</v>
      </c>
      <c r="AB1835" s="162" t="str">
        <f ca="1" t="shared" si="260"/>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8"/>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9"/>
        <v>0</v>
      </c>
      <c r="AB1836" s="162" t="str">
        <f ca="1" t="shared" si="260"/>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8"/>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9"/>
        <v>0</v>
      </c>
      <c r="AB1837" s="162" t="str">
        <f ca="1" t="shared" si="260"/>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8"/>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9"/>
        <v>0</v>
      </c>
      <c r="AB1838" s="162" t="str">
        <f ca="1" t="shared" si="260"/>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8"/>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9"/>
        <v>0</v>
      </c>
      <c r="AB1839" s="162" t="str">
        <f ca="1" t="shared" si="260"/>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8"/>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9"/>
        <v>0</v>
      </c>
      <c r="AB1840" s="162" t="str">
        <f ca="1" t="shared" si="260"/>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ref="S1841:S1871" si="261">IF(B1841="","",IF(ISERROR(MATCH($E1841,CL,0)),"Unknown",INDIRECT("'C'!$A$"&amp;MATCH($E1841,CL,0)+1)))</f>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ref="X1841:X1871" si="262">IF(AND(C1841="Smelter not listed",OR(LEN(D1841)=0,LEN(E1841)=0)),1,0)</f>
        <v>0</v>
      </c>
      <c r="AB1841" s="162" t="str">
        <f ca="1" t="shared" ref="AB1841:AB1871" si="263">B1841&amp;C1841</f>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1"/>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2"/>
        <v>0</v>
      </c>
      <c r="AB1842" s="162" t="str">
        <f ca="1" t="shared" si="263"/>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1"/>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2"/>
        <v>0</v>
      </c>
      <c r="AB1843" s="162" t="str">
        <f ca="1" t="shared" si="263"/>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1"/>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2"/>
        <v>0</v>
      </c>
      <c r="AB1844" s="162" t="str">
        <f ca="1" t="shared" si="263"/>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1"/>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2"/>
        <v>0</v>
      </c>
      <c r="AB1845" s="162" t="str">
        <f ca="1" t="shared" si="263"/>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1"/>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2"/>
        <v>0</v>
      </c>
      <c r="AB1846" s="162" t="str">
        <f ca="1" t="shared" si="263"/>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1"/>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2"/>
        <v>0</v>
      </c>
      <c r="AB1847" s="162" t="str">
        <f ca="1" t="shared" si="263"/>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1"/>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2"/>
        <v>0</v>
      </c>
      <c r="AB1848" s="162" t="str">
        <f ca="1" t="shared" si="263"/>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1"/>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2"/>
        <v>0</v>
      </c>
      <c r="AB1849" s="162" t="str">
        <f ca="1" t="shared" si="263"/>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1"/>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2"/>
        <v>0</v>
      </c>
      <c r="AB1850" s="162" t="str">
        <f ca="1" t="shared" si="263"/>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1"/>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2"/>
        <v>0</v>
      </c>
      <c r="AB1851" s="162" t="str">
        <f ca="1" t="shared" si="263"/>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1"/>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2"/>
        <v>0</v>
      </c>
      <c r="AB1852" s="162" t="str">
        <f ca="1" t="shared" si="263"/>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1"/>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2"/>
        <v>0</v>
      </c>
      <c r="AB1853" s="162" t="str">
        <f ca="1" t="shared" si="263"/>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1"/>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2"/>
        <v>0</v>
      </c>
      <c r="AB1854" s="162" t="str">
        <f ca="1" t="shared" si="263"/>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1"/>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2"/>
        <v>0</v>
      </c>
      <c r="AB1855" s="162" t="str">
        <f ca="1" t="shared" si="263"/>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1"/>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2"/>
        <v>0</v>
      </c>
      <c r="AB1856" s="162" t="str">
        <f ca="1" t="shared" si="263"/>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1"/>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2"/>
        <v>0</v>
      </c>
      <c r="AB1857" s="162" t="str">
        <f ca="1" t="shared" si="263"/>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1"/>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2"/>
        <v>0</v>
      </c>
      <c r="AB1858" s="162" t="str">
        <f ca="1" t="shared" si="263"/>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1"/>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2"/>
        <v>0</v>
      </c>
      <c r="AB1859" s="162" t="str">
        <f ca="1" t="shared" si="263"/>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1"/>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2"/>
        <v>0</v>
      </c>
      <c r="AB1860" s="162" t="str">
        <f ca="1" t="shared" si="263"/>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1"/>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2"/>
        <v>0</v>
      </c>
      <c r="AB1861" s="162" t="str">
        <f ca="1" t="shared" si="263"/>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1"/>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2"/>
        <v>0</v>
      </c>
      <c r="AB1862" s="162" t="str">
        <f ca="1" t="shared" si="263"/>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1"/>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2"/>
        <v>0</v>
      </c>
      <c r="AB1863" s="162" t="str">
        <f ca="1" t="shared" si="263"/>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1"/>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2"/>
        <v>0</v>
      </c>
      <c r="AB1864" s="162" t="str">
        <f ca="1" t="shared" si="263"/>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1"/>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2"/>
        <v>0</v>
      </c>
      <c r="AB1865" s="162" t="str">
        <f ca="1" t="shared" si="263"/>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1"/>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2"/>
        <v>0</v>
      </c>
      <c r="AB1866" s="162" t="str">
        <f ca="1" t="shared" si="263"/>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1"/>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2"/>
        <v>0</v>
      </c>
      <c r="AB1867" s="162" t="str">
        <f ca="1" t="shared" si="263"/>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1"/>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2"/>
        <v>0</v>
      </c>
      <c r="AB1868" s="162" t="str">
        <f ca="1" t="shared" si="263"/>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1"/>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2"/>
        <v>0</v>
      </c>
      <c r="AB1869" s="162" t="str">
        <f ca="1" t="shared" si="263"/>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1"/>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2"/>
        <v>0</v>
      </c>
      <c r="AB1870" s="162" t="str">
        <f ca="1" t="shared" si="263"/>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1"/>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2"/>
        <v>0</v>
      </c>
      <c r="AB1871" s="162" t="str">
        <f ca="1" t="shared" si="263"/>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ref="S1872" si="264">IF(B1872="","",IF(ISERROR(MATCH($E1872,CL,0)),"Unknown",INDIRECT("'C'!$A$"&amp;MATCH($E1872,CL,0)+1)))</f>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ref="X1872" si="265">IF(AND(C1872="Smelter not listed",OR(LEN(D1872)=0,LEN(E1872)=0)),1,0)</f>
        <v>0</v>
      </c>
      <c r="AB1872" s="162" t="str">
        <f ca="1" t="shared" ref="AB1872" si="266">B1872&amp;C1872</f>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ref="S1873:S1904" si="267">IF(B1873="","",IF(ISERROR(MATCH($E1873,CL,0)),"Unknown",INDIRECT("'C'!$A$"&amp;MATCH($E1873,CL,0)+1)))</f>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ref="X1873:X1904" si="268">IF(AND(C1873="Smelter not listed",OR(LEN(D1873)=0,LEN(E1873)=0)),1,0)</f>
        <v>0</v>
      </c>
      <c r="AB1873" s="162" t="str">
        <f ca="1" t="shared" ref="AB1873:AB1904" si="269">B1873&amp;C1873</f>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7"/>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8"/>
        <v>0</v>
      </c>
      <c r="AB1874" s="162" t="str">
        <f ca="1" t="shared" si="269"/>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7"/>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8"/>
        <v>0</v>
      </c>
      <c r="AB1875" s="162" t="str">
        <f ca="1" t="shared" si="269"/>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7"/>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8"/>
        <v>0</v>
      </c>
      <c r="AB1876" s="162" t="str">
        <f ca="1" t="shared" si="269"/>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7"/>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8"/>
        <v>0</v>
      </c>
      <c r="AB1877" s="162" t="str">
        <f ca="1" t="shared" si="269"/>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7"/>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8"/>
        <v>0</v>
      </c>
      <c r="AB1878" s="162" t="str">
        <f ca="1" t="shared" si="269"/>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7"/>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8"/>
        <v>0</v>
      </c>
      <c r="AB1879" s="162" t="str">
        <f ca="1" t="shared" si="269"/>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7"/>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8"/>
        <v>0</v>
      </c>
      <c r="AB1880" s="162" t="str">
        <f ca="1" t="shared" si="269"/>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7"/>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8"/>
        <v>0</v>
      </c>
      <c r="AB1881" s="162" t="str">
        <f ca="1" t="shared" si="269"/>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7"/>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8"/>
        <v>0</v>
      </c>
      <c r="AB1882" s="162" t="str">
        <f ca="1" t="shared" si="269"/>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7"/>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8"/>
        <v>0</v>
      </c>
      <c r="AB1883" s="162" t="str">
        <f ca="1" t="shared" si="269"/>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7"/>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8"/>
        <v>0</v>
      </c>
      <c r="AB1884" s="162" t="str">
        <f ca="1" t="shared" si="269"/>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7"/>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8"/>
        <v>0</v>
      </c>
      <c r="AB1885" s="162" t="str">
        <f ca="1" t="shared" si="269"/>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7"/>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8"/>
        <v>0</v>
      </c>
      <c r="AB1886" s="162" t="str">
        <f ca="1" t="shared" si="269"/>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7"/>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8"/>
        <v>0</v>
      </c>
      <c r="AB1887" s="162" t="str">
        <f ca="1" t="shared" si="269"/>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7"/>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8"/>
        <v>0</v>
      </c>
      <c r="AB1888" s="162" t="str">
        <f ca="1" t="shared" si="269"/>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7"/>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8"/>
        <v>0</v>
      </c>
      <c r="AB1889" s="162" t="str">
        <f ca="1" t="shared" si="269"/>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7"/>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8"/>
        <v>0</v>
      </c>
      <c r="AB1890" s="162" t="str">
        <f ca="1" t="shared" si="269"/>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7"/>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8"/>
        <v>0</v>
      </c>
      <c r="AB1891" s="162" t="str">
        <f ca="1" t="shared" si="269"/>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7"/>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8"/>
        <v>0</v>
      </c>
      <c r="AB1892" s="162" t="str">
        <f ca="1" t="shared" si="269"/>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7"/>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8"/>
        <v>0</v>
      </c>
      <c r="AB1893" s="162" t="str">
        <f ca="1" t="shared" si="269"/>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7"/>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8"/>
        <v>0</v>
      </c>
      <c r="AB1894" s="162" t="str">
        <f ca="1" t="shared" si="269"/>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7"/>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8"/>
        <v>0</v>
      </c>
      <c r="AB1895" s="162" t="str">
        <f ca="1" t="shared" si="269"/>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7"/>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8"/>
        <v>0</v>
      </c>
      <c r="AB1896" s="162" t="str">
        <f ca="1" t="shared" si="269"/>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7"/>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8"/>
        <v>0</v>
      </c>
      <c r="AB1897" s="162" t="str">
        <f ca="1" t="shared" si="269"/>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7"/>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8"/>
        <v>0</v>
      </c>
      <c r="AB1898" s="162" t="str">
        <f ca="1" t="shared" si="269"/>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7"/>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8"/>
        <v>0</v>
      </c>
      <c r="AB1899" s="162" t="str">
        <f ca="1" t="shared" si="269"/>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7"/>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8"/>
        <v>0</v>
      </c>
      <c r="AB1900" s="162" t="str">
        <f ca="1" t="shared" si="269"/>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7"/>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8"/>
        <v>0</v>
      </c>
      <c r="AB1901" s="162" t="str">
        <f ca="1" t="shared" si="269"/>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7"/>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8"/>
        <v>0</v>
      </c>
      <c r="AB1902" s="162" t="str">
        <f ca="1" t="shared" si="269"/>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7"/>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8"/>
        <v>0</v>
      </c>
      <c r="AB1903" s="162" t="str">
        <f ca="1" t="shared" si="269"/>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7"/>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8"/>
        <v>0</v>
      </c>
      <c r="AB1904" s="162" t="str">
        <f ca="1" t="shared" si="269"/>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ref="S1905:S1935" si="270">IF(B1905="","",IF(ISERROR(MATCH($E1905,CL,0)),"Unknown",INDIRECT("'C'!$A$"&amp;MATCH($E1905,CL,0)+1)))</f>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ref="X1905:X1935" si="271">IF(AND(C1905="Smelter not listed",OR(LEN(D1905)=0,LEN(E1905)=0)),1,0)</f>
        <v>0</v>
      </c>
      <c r="AB1905" s="162" t="str">
        <f ca="1" t="shared" ref="AB1905:AB1935" si="272">B1905&amp;C1905</f>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0"/>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1"/>
        <v>0</v>
      </c>
      <c r="AB1906" s="162" t="str">
        <f ca="1" t="shared" si="272"/>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0"/>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1"/>
        <v>0</v>
      </c>
      <c r="AB1907" s="162" t="str">
        <f ca="1" t="shared" si="272"/>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0"/>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1"/>
        <v>0</v>
      </c>
      <c r="AB1908" s="162" t="str">
        <f ca="1" t="shared" si="272"/>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0"/>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1"/>
        <v>0</v>
      </c>
      <c r="AB1909" s="162" t="str">
        <f ca="1" t="shared" si="272"/>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0"/>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1"/>
        <v>0</v>
      </c>
      <c r="AB1910" s="162" t="str">
        <f ca="1" t="shared" si="272"/>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0"/>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1"/>
        <v>0</v>
      </c>
      <c r="AB1911" s="162" t="str">
        <f ca="1" t="shared" si="272"/>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0"/>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1"/>
        <v>0</v>
      </c>
      <c r="AB1912" s="162" t="str">
        <f ca="1" t="shared" si="272"/>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0"/>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1"/>
        <v>0</v>
      </c>
      <c r="AB1913" s="162" t="str">
        <f ca="1" t="shared" si="272"/>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0"/>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1"/>
        <v>0</v>
      </c>
      <c r="AB1914" s="162" t="str">
        <f ca="1" t="shared" si="272"/>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0"/>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1"/>
        <v>0</v>
      </c>
      <c r="AB1915" s="162" t="str">
        <f ca="1" t="shared" si="272"/>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0"/>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1"/>
        <v>0</v>
      </c>
      <c r="AB1916" s="162" t="str">
        <f ca="1" t="shared" si="272"/>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0"/>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1"/>
        <v>0</v>
      </c>
      <c r="AB1917" s="162" t="str">
        <f ca="1" t="shared" si="272"/>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0"/>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1"/>
        <v>0</v>
      </c>
      <c r="AB1918" s="162" t="str">
        <f ca="1" t="shared" si="272"/>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0"/>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1"/>
        <v>0</v>
      </c>
      <c r="AB1919" s="162" t="str">
        <f ca="1" t="shared" si="272"/>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0"/>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1"/>
        <v>0</v>
      </c>
      <c r="AB1920" s="162" t="str">
        <f ca="1" t="shared" si="272"/>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0"/>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1"/>
        <v>0</v>
      </c>
      <c r="AB1921" s="162" t="str">
        <f ca="1" t="shared" si="272"/>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0"/>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1"/>
        <v>0</v>
      </c>
      <c r="AB1922" s="162" t="str">
        <f ca="1" t="shared" si="272"/>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0"/>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1"/>
        <v>0</v>
      </c>
      <c r="AB1923" s="162" t="str">
        <f ca="1" t="shared" si="272"/>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0"/>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1"/>
        <v>0</v>
      </c>
      <c r="AB1924" s="162" t="str">
        <f ca="1" t="shared" si="272"/>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0"/>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1"/>
        <v>0</v>
      </c>
      <c r="AB1925" s="162" t="str">
        <f ca="1" t="shared" si="272"/>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0"/>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1"/>
        <v>0</v>
      </c>
      <c r="AB1926" s="162" t="str">
        <f ca="1" t="shared" si="272"/>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0"/>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1"/>
        <v>0</v>
      </c>
      <c r="AB1927" s="162" t="str">
        <f ca="1" t="shared" si="272"/>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0"/>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1"/>
        <v>0</v>
      </c>
      <c r="AB1928" s="162" t="str">
        <f ca="1" t="shared" si="272"/>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0"/>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1"/>
        <v>0</v>
      </c>
      <c r="AB1929" s="162" t="str">
        <f ca="1" t="shared" si="272"/>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0"/>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1"/>
        <v>0</v>
      </c>
      <c r="AB1930" s="162" t="str">
        <f ca="1" t="shared" si="272"/>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0"/>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1"/>
        <v>0</v>
      </c>
      <c r="AB1931" s="162" t="str">
        <f ca="1" t="shared" si="272"/>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0"/>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1"/>
        <v>0</v>
      </c>
      <c r="AB1932" s="162" t="str">
        <f ca="1" t="shared" si="272"/>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0"/>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1"/>
        <v>0</v>
      </c>
      <c r="AB1933" s="162" t="str">
        <f ca="1" t="shared" si="272"/>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0"/>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1"/>
        <v>0</v>
      </c>
      <c r="AB1934" s="162" t="str">
        <f ca="1" t="shared" si="272"/>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0"/>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1"/>
        <v>0</v>
      </c>
      <c r="AB1935" s="162" t="str">
        <f ca="1" t="shared" si="272"/>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ref="S1936" si="273">IF(B1936="","",IF(ISERROR(MATCH($E1936,CL,0)),"Unknown",INDIRECT("'C'!$A$"&amp;MATCH($E1936,CL,0)+1)))</f>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ref="X1936" si="274">IF(AND(C1936="Smelter not listed",OR(LEN(D1936)=0,LEN(E1936)=0)),1,0)</f>
        <v>0</v>
      </c>
      <c r="AB1936" s="162" t="str">
        <f ca="1" t="shared" ref="AB1936" si="275">B1936&amp;C1936</f>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ref="S1937:S1968" si="276">IF(B1937="","",IF(ISERROR(MATCH($E1937,CL,0)),"Unknown",INDIRECT("'C'!$A$"&amp;MATCH($E1937,CL,0)+1)))</f>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ref="X1937:X1968" si="277">IF(AND(C1937="Smelter not listed",OR(LEN(D1937)=0,LEN(E1937)=0)),1,0)</f>
        <v>0</v>
      </c>
      <c r="AB1937" s="162" t="str">
        <f ca="1" t="shared" ref="AB1937:AB1968" si="278">B1937&amp;C1937</f>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6"/>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7"/>
        <v>0</v>
      </c>
      <c r="AB1938" s="162" t="str">
        <f ca="1" t="shared" si="278"/>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6"/>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7"/>
        <v>0</v>
      </c>
      <c r="AB1939" s="162" t="str">
        <f ca="1" t="shared" si="278"/>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6"/>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7"/>
        <v>0</v>
      </c>
      <c r="AB1940" s="162" t="str">
        <f ca="1" t="shared" si="278"/>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6"/>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7"/>
        <v>0</v>
      </c>
      <c r="AB1941" s="162" t="str">
        <f ca="1" t="shared" si="278"/>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6"/>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7"/>
        <v>0</v>
      </c>
      <c r="AB1942" s="162" t="str">
        <f ca="1" t="shared" si="278"/>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6"/>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7"/>
        <v>0</v>
      </c>
      <c r="AB1943" s="162" t="str">
        <f ca="1" t="shared" si="278"/>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6"/>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7"/>
        <v>0</v>
      </c>
      <c r="AB1944" s="162" t="str">
        <f ca="1" t="shared" si="278"/>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6"/>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7"/>
        <v>0</v>
      </c>
      <c r="AB1945" s="162" t="str">
        <f ca="1" t="shared" si="278"/>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6"/>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7"/>
        <v>0</v>
      </c>
      <c r="AB1946" s="162" t="str">
        <f ca="1" t="shared" si="278"/>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6"/>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7"/>
        <v>0</v>
      </c>
      <c r="AB1947" s="162" t="str">
        <f ca="1" t="shared" si="278"/>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6"/>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7"/>
        <v>0</v>
      </c>
      <c r="AB1948" s="162" t="str">
        <f ca="1" t="shared" si="278"/>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6"/>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7"/>
        <v>0</v>
      </c>
      <c r="AB1949" s="162" t="str">
        <f ca="1" t="shared" si="278"/>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6"/>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7"/>
        <v>0</v>
      </c>
      <c r="AB1950" s="162" t="str">
        <f ca="1" t="shared" si="278"/>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6"/>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7"/>
        <v>0</v>
      </c>
      <c r="AB1951" s="162" t="str">
        <f ca="1" t="shared" si="278"/>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6"/>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7"/>
        <v>0</v>
      </c>
      <c r="AB1952" s="162" t="str">
        <f ca="1" t="shared" si="278"/>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6"/>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7"/>
        <v>0</v>
      </c>
      <c r="AB1953" s="162" t="str">
        <f ca="1" t="shared" si="278"/>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6"/>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7"/>
        <v>0</v>
      </c>
      <c r="AB1954" s="162" t="str">
        <f ca="1" t="shared" si="278"/>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6"/>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7"/>
        <v>0</v>
      </c>
      <c r="AB1955" s="162" t="str">
        <f ca="1" t="shared" si="278"/>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6"/>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7"/>
        <v>0</v>
      </c>
      <c r="AB1956" s="162" t="str">
        <f ca="1" t="shared" si="278"/>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6"/>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7"/>
        <v>0</v>
      </c>
      <c r="AB1957" s="162" t="str">
        <f ca="1" t="shared" si="278"/>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6"/>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7"/>
        <v>0</v>
      </c>
      <c r="AB1958" s="162" t="str">
        <f ca="1" t="shared" si="278"/>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6"/>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7"/>
        <v>0</v>
      </c>
      <c r="AB1959" s="162" t="str">
        <f ca="1" t="shared" si="278"/>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6"/>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7"/>
        <v>0</v>
      </c>
      <c r="AB1960" s="162" t="str">
        <f ca="1" t="shared" si="278"/>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6"/>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7"/>
        <v>0</v>
      </c>
      <c r="AB1961" s="162" t="str">
        <f ca="1" t="shared" si="278"/>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6"/>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7"/>
        <v>0</v>
      </c>
      <c r="AB1962" s="162" t="str">
        <f ca="1" t="shared" si="278"/>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6"/>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7"/>
        <v>0</v>
      </c>
      <c r="AB1963" s="162" t="str">
        <f ca="1" t="shared" si="278"/>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6"/>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7"/>
        <v>0</v>
      </c>
      <c r="AB1964" s="162" t="str">
        <f ca="1" t="shared" si="278"/>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6"/>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7"/>
        <v>0</v>
      </c>
      <c r="AB1965" s="162" t="str">
        <f ca="1" t="shared" si="278"/>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6"/>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7"/>
        <v>0</v>
      </c>
      <c r="AB1966" s="162" t="str">
        <f ca="1" t="shared" si="278"/>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6"/>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7"/>
        <v>0</v>
      </c>
      <c r="AB1967" s="162" t="str">
        <f ca="1" t="shared" si="278"/>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6"/>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7"/>
        <v>0</v>
      </c>
      <c r="AB1968" s="162" t="str">
        <f ca="1" t="shared" si="278"/>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ref="S1969:S1999" si="279">IF(B1969="","",IF(ISERROR(MATCH($E1969,CL,0)),"Unknown",INDIRECT("'C'!$A$"&amp;MATCH($E1969,CL,0)+1)))</f>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ref="X1969:X1999" si="280">IF(AND(C1969="Smelter not listed",OR(LEN(D1969)=0,LEN(E1969)=0)),1,0)</f>
        <v>0</v>
      </c>
      <c r="AB1969" s="162" t="str">
        <f ca="1" t="shared" ref="AB1969:AB1999" si="281">B1969&amp;C1969</f>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9"/>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0"/>
        <v>0</v>
      </c>
      <c r="AB1970" s="162" t="str">
        <f ca="1" t="shared" si="281"/>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9"/>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0"/>
        <v>0</v>
      </c>
      <c r="AB1971" s="162" t="str">
        <f ca="1" t="shared" si="281"/>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9"/>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0"/>
        <v>0</v>
      </c>
      <c r="AB1972" s="162" t="str">
        <f ca="1" t="shared" si="281"/>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9"/>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0"/>
        <v>0</v>
      </c>
      <c r="AB1973" s="162" t="str">
        <f ca="1" t="shared" si="281"/>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9"/>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0"/>
        <v>0</v>
      </c>
      <c r="AB1974" s="162" t="str">
        <f ca="1" t="shared" si="281"/>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9"/>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0"/>
        <v>0</v>
      </c>
      <c r="AB1975" s="162" t="str">
        <f ca="1" t="shared" si="281"/>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9"/>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0"/>
        <v>0</v>
      </c>
      <c r="AB1976" s="162" t="str">
        <f ca="1" t="shared" si="281"/>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79"/>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0"/>
        <v>0</v>
      </c>
      <c r="AB1977" s="162" t="str">
        <f ca="1" t="shared" si="281"/>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79"/>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0"/>
        <v>0</v>
      </c>
      <c r="AB1978" s="162" t="str">
        <f ca="1" t="shared" si="281"/>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79"/>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0"/>
        <v>0</v>
      </c>
      <c r="AB1979" s="162" t="str">
        <f ca="1" t="shared" si="281"/>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79"/>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0"/>
        <v>0</v>
      </c>
      <c r="AB1980" s="162" t="str">
        <f ca="1" t="shared" si="281"/>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79"/>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0"/>
        <v>0</v>
      </c>
      <c r="AB1981" s="162" t="str">
        <f ca="1" t="shared" si="281"/>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79"/>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0"/>
        <v>0</v>
      </c>
      <c r="AB1982" s="162" t="str">
        <f ca="1" t="shared" si="281"/>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79"/>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0"/>
        <v>0</v>
      </c>
      <c r="AB1983" s="162" t="str">
        <f ca="1" t="shared" si="281"/>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79"/>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0"/>
        <v>0</v>
      </c>
      <c r="AB1984" s="162" t="str">
        <f ca="1" t="shared" si="281"/>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79"/>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0"/>
        <v>0</v>
      </c>
      <c r="AB1985" s="162" t="str">
        <f ca="1" t="shared" si="281"/>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79"/>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0"/>
        <v>0</v>
      </c>
      <c r="AB1986" s="162" t="str">
        <f ca="1" t="shared" si="281"/>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79"/>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0"/>
        <v>0</v>
      </c>
      <c r="AB1987" s="162" t="str">
        <f ca="1" t="shared" si="281"/>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79"/>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0"/>
        <v>0</v>
      </c>
      <c r="AB1988" s="162" t="str">
        <f ca="1" t="shared" si="281"/>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79"/>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0"/>
        <v>0</v>
      </c>
      <c r="AB1989" s="162" t="str">
        <f ca="1" t="shared" si="281"/>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79"/>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0"/>
        <v>0</v>
      </c>
      <c r="AB1990" s="162" t="str">
        <f ca="1" t="shared" si="281"/>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79"/>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0"/>
        <v>0</v>
      </c>
      <c r="AB1991" s="162" t="str">
        <f ca="1" t="shared" si="281"/>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79"/>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0"/>
        <v>0</v>
      </c>
      <c r="AB1992" s="162" t="str">
        <f ca="1" t="shared" si="281"/>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79"/>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0"/>
        <v>0</v>
      </c>
      <c r="AB1993" s="162" t="str">
        <f ca="1" t="shared" si="281"/>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79"/>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0"/>
        <v>0</v>
      </c>
      <c r="AB1994" s="162" t="str">
        <f ca="1" t="shared" si="281"/>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79"/>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0"/>
        <v>0</v>
      </c>
      <c r="AB1995" s="162" t="str">
        <f ca="1" t="shared" si="281"/>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79"/>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0"/>
        <v>0</v>
      </c>
      <c r="AB1996" s="162" t="str">
        <f ca="1" t="shared" si="281"/>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79"/>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0"/>
        <v>0</v>
      </c>
      <c r="AB1997" s="162" t="str">
        <f ca="1" t="shared" si="281"/>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79"/>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0"/>
        <v>0</v>
      </c>
      <c r="AB1998" s="162" t="str">
        <f ca="1" t="shared" si="281"/>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79"/>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0"/>
        <v>0</v>
      </c>
      <c r="AB1999" s="162" t="str">
        <f ca="1" t="shared" si="281"/>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ref="S2000" si="282">IF(B2000="","",IF(ISERROR(MATCH($E2000,CL,0)),"Unknown",INDIRECT("'C'!$A$"&amp;MATCH($E2000,CL,0)+1)))</f>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ref="X2000" si="283">IF(AND(C2000="Smelter not listed",OR(LEN(D2000)=0,LEN(E2000)=0)),1,0)</f>
        <v>0</v>
      </c>
      <c r="AB2000" s="162" t="str">
        <f ca="1" t="shared" ref="AB2000" si="284">B2000&amp;C2000</f>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ref="S2001:S2032" si="285">IF(B2001="","",IF(ISERROR(MATCH($E2001,CL,0)),"Unknown",INDIRECT("'C'!$A$"&amp;MATCH($E2001,CL,0)+1)))</f>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ref="X2001:X2032" si="286">IF(AND(C2001="Smelter not listed",OR(LEN(D2001)=0,LEN(E2001)=0)),1,0)</f>
        <v>0</v>
      </c>
      <c r="AB2001" s="162" t="str">
        <f ca="1" t="shared" ref="AB2001:AB2032" si="287">B2001&amp;C2001</f>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5"/>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6"/>
        <v>0</v>
      </c>
      <c r="AB2002" s="162" t="str">
        <f ca="1" t="shared" si="287"/>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5"/>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6"/>
        <v>0</v>
      </c>
      <c r="AB2003" s="162" t="str">
        <f ca="1" t="shared" si="287"/>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5"/>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6"/>
        <v>0</v>
      </c>
      <c r="AB2004" s="162" t="str">
        <f ca="1" t="shared" si="287"/>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5"/>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6"/>
        <v>0</v>
      </c>
      <c r="AB2005" s="162" t="str">
        <f ca="1" t="shared" si="287"/>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5"/>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6"/>
        <v>0</v>
      </c>
      <c r="AB2006" s="162" t="str">
        <f ca="1" t="shared" si="287"/>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5"/>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6"/>
        <v>0</v>
      </c>
      <c r="AB2007" s="162" t="str">
        <f ca="1" t="shared" si="287"/>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5"/>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6"/>
        <v>0</v>
      </c>
      <c r="AB2008" s="162" t="str">
        <f ca="1" t="shared" si="287"/>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5"/>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6"/>
        <v>0</v>
      </c>
      <c r="AB2009" s="162" t="str">
        <f ca="1" t="shared" si="287"/>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5"/>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6"/>
        <v>0</v>
      </c>
      <c r="AB2010" s="162" t="str">
        <f ca="1" t="shared" si="287"/>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5"/>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6"/>
        <v>0</v>
      </c>
      <c r="AB2011" s="162" t="str">
        <f ca="1" t="shared" si="287"/>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5"/>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6"/>
        <v>0</v>
      </c>
      <c r="AB2012" s="162" t="str">
        <f ca="1" t="shared" si="287"/>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5"/>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6"/>
        <v>0</v>
      </c>
      <c r="AB2013" s="162" t="str">
        <f ca="1" t="shared" si="287"/>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5"/>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6"/>
        <v>0</v>
      </c>
      <c r="AB2014" s="162" t="str">
        <f ca="1" t="shared" si="287"/>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5"/>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6"/>
        <v>0</v>
      </c>
      <c r="AB2015" s="162" t="str">
        <f ca="1" t="shared" si="287"/>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5"/>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6"/>
        <v>0</v>
      </c>
      <c r="AB2016" s="162" t="str">
        <f ca="1" t="shared" si="287"/>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5"/>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6"/>
        <v>0</v>
      </c>
      <c r="AB2017" s="162" t="str">
        <f ca="1" t="shared" si="287"/>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5"/>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6"/>
        <v>0</v>
      </c>
      <c r="AB2018" s="162" t="str">
        <f ca="1" t="shared" si="287"/>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5"/>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6"/>
        <v>0</v>
      </c>
      <c r="AB2019" s="162" t="str">
        <f ca="1" t="shared" si="287"/>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5"/>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6"/>
        <v>0</v>
      </c>
      <c r="AB2020" s="162" t="str">
        <f ca="1" t="shared" si="287"/>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5"/>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6"/>
        <v>0</v>
      </c>
      <c r="AB2021" s="162" t="str">
        <f ca="1" t="shared" si="287"/>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5"/>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6"/>
        <v>0</v>
      </c>
      <c r="AB2022" s="162" t="str">
        <f ca="1" t="shared" si="287"/>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5"/>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6"/>
        <v>0</v>
      </c>
      <c r="AB2023" s="162" t="str">
        <f ca="1" t="shared" si="287"/>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5"/>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6"/>
        <v>0</v>
      </c>
      <c r="AB2024" s="162" t="str">
        <f ca="1" t="shared" si="287"/>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5"/>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6"/>
        <v>0</v>
      </c>
      <c r="AB2025" s="162" t="str">
        <f ca="1" t="shared" si="287"/>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5"/>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6"/>
        <v>0</v>
      </c>
      <c r="AB2026" s="162" t="str">
        <f ca="1" t="shared" si="287"/>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5"/>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6"/>
        <v>0</v>
      </c>
      <c r="AB2027" s="162" t="str">
        <f ca="1" t="shared" si="287"/>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5"/>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6"/>
        <v>0</v>
      </c>
      <c r="AB2028" s="162" t="str">
        <f ca="1" t="shared" si="287"/>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5"/>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6"/>
        <v>0</v>
      </c>
      <c r="AB2029" s="162" t="str">
        <f ca="1" t="shared" si="287"/>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5"/>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6"/>
        <v>0</v>
      </c>
      <c r="AB2030" s="162" t="str">
        <f ca="1" t="shared" si="287"/>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5"/>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6"/>
        <v>0</v>
      </c>
      <c r="AB2031" s="162" t="str">
        <f ca="1" t="shared" si="287"/>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5"/>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6"/>
        <v>0</v>
      </c>
      <c r="AB2032" s="162" t="str">
        <f ca="1" t="shared" si="287"/>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ref="S2033:S2063" si="288">IF(B2033="","",IF(ISERROR(MATCH($E2033,CL,0)),"Unknown",INDIRECT("'C'!$A$"&amp;MATCH($E2033,CL,0)+1)))</f>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ref="X2033:X2063" si="289">IF(AND(C2033="Smelter not listed",OR(LEN(D2033)=0,LEN(E2033)=0)),1,0)</f>
        <v>0</v>
      </c>
      <c r="AB2033" s="162" t="str">
        <f ca="1" t="shared" ref="AB2033:AB2063" si="290">B2033&amp;C2033</f>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8"/>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9"/>
        <v>0</v>
      </c>
      <c r="AB2034" s="162" t="str">
        <f ca="1" t="shared" si="290"/>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8"/>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9"/>
        <v>0</v>
      </c>
      <c r="AB2035" s="162" t="str">
        <f ca="1" t="shared" si="290"/>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8"/>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9"/>
        <v>0</v>
      </c>
      <c r="AB2036" s="162" t="str">
        <f ca="1" t="shared" si="290"/>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8"/>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9"/>
        <v>0</v>
      </c>
      <c r="AB2037" s="162" t="str">
        <f ca="1" t="shared" si="290"/>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8"/>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9"/>
        <v>0</v>
      </c>
      <c r="AB2038" s="162" t="str">
        <f ca="1" t="shared" si="290"/>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8"/>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9"/>
        <v>0</v>
      </c>
      <c r="AB2039" s="162" t="str">
        <f ca="1" t="shared" si="290"/>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8"/>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9"/>
        <v>0</v>
      </c>
      <c r="AB2040" s="162" t="str">
        <f ca="1" t="shared" si="290"/>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8"/>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89"/>
        <v>0</v>
      </c>
      <c r="AB2041" s="162" t="str">
        <f ca="1" t="shared" si="290"/>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8"/>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89"/>
        <v>0</v>
      </c>
      <c r="AB2042" s="162" t="str">
        <f ca="1" t="shared" si="290"/>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8"/>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89"/>
        <v>0</v>
      </c>
      <c r="AB2043" s="162" t="str">
        <f ca="1" t="shared" si="290"/>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8"/>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89"/>
        <v>0</v>
      </c>
      <c r="AB2044" s="162" t="str">
        <f ca="1" t="shared" si="290"/>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8"/>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89"/>
        <v>0</v>
      </c>
      <c r="AB2045" s="162" t="str">
        <f ca="1" t="shared" si="290"/>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8"/>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89"/>
        <v>0</v>
      </c>
      <c r="AB2046" s="162" t="str">
        <f ca="1" t="shared" si="290"/>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8"/>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89"/>
        <v>0</v>
      </c>
      <c r="AB2047" s="162" t="str">
        <f ca="1" t="shared" si="290"/>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8"/>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89"/>
        <v>0</v>
      </c>
      <c r="AB2048" s="162" t="str">
        <f ca="1" t="shared" si="290"/>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8"/>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89"/>
        <v>0</v>
      </c>
      <c r="AB2049" s="162" t="str">
        <f ca="1" t="shared" si="290"/>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8"/>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89"/>
        <v>0</v>
      </c>
      <c r="AB2050" s="162" t="str">
        <f ca="1" t="shared" si="290"/>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8"/>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89"/>
        <v>0</v>
      </c>
      <c r="AB2051" s="162" t="str">
        <f ca="1" t="shared" si="290"/>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8"/>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89"/>
        <v>0</v>
      </c>
      <c r="AB2052" s="162" t="str">
        <f ca="1" t="shared" si="290"/>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8"/>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89"/>
        <v>0</v>
      </c>
      <c r="AB2053" s="162" t="str">
        <f ca="1" t="shared" si="290"/>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8"/>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89"/>
        <v>0</v>
      </c>
      <c r="AB2054" s="162" t="str">
        <f ca="1" t="shared" si="290"/>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8"/>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89"/>
        <v>0</v>
      </c>
      <c r="AB2055" s="162" t="str">
        <f ca="1" t="shared" si="290"/>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8"/>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89"/>
        <v>0</v>
      </c>
      <c r="AB2056" s="162" t="str">
        <f ca="1" t="shared" si="290"/>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8"/>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89"/>
        <v>0</v>
      </c>
      <c r="AB2057" s="162" t="str">
        <f ca="1" t="shared" si="290"/>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8"/>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89"/>
        <v>0</v>
      </c>
      <c r="AB2058" s="162" t="str">
        <f ca="1" t="shared" si="290"/>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8"/>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89"/>
        <v>0</v>
      </c>
      <c r="AB2059" s="162" t="str">
        <f ca="1" t="shared" si="290"/>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8"/>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89"/>
        <v>0</v>
      </c>
      <c r="AB2060" s="162" t="str">
        <f ca="1" t="shared" si="290"/>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8"/>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89"/>
        <v>0</v>
      </c>
      <c r="AB2061" s="162" t="str">
        <f ca="1" t="shared" si="290"/>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8"/>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89"/>
        <v>0</v>
      </c>
      <c r="AB2062" s="162" t="str">
        <f ca="1" t="shared" si="290"/>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8"/>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89"/>
        <v>0</v>
      </c>
      <c r="AB2063" s="162" t="str">
        <f ca="1" t="shared" si="290"/>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ref="S2064" si="291">IF(B2064="","",IF(ISERROR(MATCH($E2064,CL,0)),"Unknown",INDIRECT("'C'!$A$"&amp;MATCH($E2064,CL,0)+1)))</f>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ref="X2064" si="292">IF(AND(C2064="Smelter not listed",OR(LEN(D2064)=0,LEN(E2064)=0)),1,0)</f>
        <v>0</v>
      </c>
      <c r="AB2064" s="162" t="str">
        <f ca="1" t="shared" ref="AB2064" si="293">B2064&amp;C2064</f>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ref="S2065:S2096" si="294">IF(B2065="","",IF(ISERROR(MATCH($E2065,CL,0)),"Unknown",INDIRECT("'C'!$A$"&amp;MATCH($E2065,CL,0)+1)))</f>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ref="X2065:X2096" si="295">IF(AND(C2065="Smelter not listed",OR(LEN(D2065)=0,LEN(E2065)=0)),1,0)</f>
        <v>0</v>
      </c>
      <c r="AB2065" s="162" t="str">
        <f ca="1" t="shared" ref="AB2065:AB2096" si="296">B2065&amp;C2065</f>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4"/>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5"/>
        <v>0</v>
      </c>
      <c r="AB2066" s="162" t="str">
        <f ca="1" t="shared" si="296"/>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4"/>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5"/>
        <v>0</v>
      </c>
      <c r="AB2067" s="162" t="str">
        <f ca="1" t="shared" si="296"/>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4"/>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5"/>
        <v>0</v>
      </c>
      <c r="AB2068" s="162" t="str">
        <f ca="1" t="shared" si="296"/>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4"/>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5"/>
        <v>0</v>
      </c>
      <c r="AB2069" s="162" t="str">
        <f ca="1" t="shared" si="296"/>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4"/>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5"/>
        <v>0</v>
      </c>
      <c r="AB2070" s="162" t="str">
        <f ca="1" t="shared" si="296"/>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4"/>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5"/>
        <v>0</v>
      </c>
      <c r="AB2071" s="162" t="str">
        <f ca="1" t="shared" si="296"/>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4"/>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5"/>
        <v>0</v>
      </c>
      <c r="AB2072" s="162" t="str">
        <f ca="1" t="shared" si="296"/>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4"/>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5"/>
        <v>0</v>
      </c>
      <c r="AB2073" s="162" t="str">
        <f ca="1" t="shared" si="296"/>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4"/>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5"/>
        <v>0</v>
      </c>
      <c r="AB2074" s="162" t="str">
        <f ca="1" t="shared" si="296"/>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4"/>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5"/>
        <v>0</v>
      </c>
      <c r="AB2075" s="162" t="str">
        <f ca="1" t="shared" si="296"/>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4"/>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5"/>
        <v>0</v>
      </c>
      <c r="AB2076" s="162" t="str">
        <f ca="1" t="shared" si="296"/>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4"/>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5"/>
        <v>0</v>
      </c>
      <c r="AB2077" s="162" t="str">
        <f ca="1" t="shared" si="296"/>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4"/>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5"/>
        <v>0</v>
      </c>
      <c r="AB2078" s="162" t="str">
        <f ca="1" t="shared" si="296"/>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4"/>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5"/>
        <v>0</v>
      </c>
      <c r="AB2079" s="162" t="str">
        <f ca="1" t="shared" si="296"/>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4"/>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5"/>
        <v>0</v>
      </c>
      <c r="AB2080" s="162" t="str">
        <f ca="1" t="shared" si="296"/>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4"/>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5"/>
        <v>0</v>
      </c>
      <c r="AB2081" s="162" t="str">
        <f ca="1" t="shared" si="296"/>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4"/>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5"/>
        <v>0</v>
      </c>
      <c r="AB2082" s="162" t="str">
        <f ca="1" t="shared" si="296"/>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4"/>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5"/>
        <v>0</v>
      </c>
      <c r="AB2083" s="162" t="str">
        <f ca="1" t="shared" si="296"/>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4"/>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5"/>
        <v>0</v>
      </c>
      <c r="AB2084" s="162" t="str">
        <f ca="1" t="shared" si="296"/>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4"/>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5"/>
        <v>0</v>
      </c>
      <c r="AB2085" s="162" t="str">
        <f ca="1" t="shared" si="296"/>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4"/>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5"/>
        <v>0</v>
      </c>
      <c r="AB2086" s="162" t="str">
        <f ca="1" t="shared" si="296"/>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4"/>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5"/>
        <v>0</v>
      </c>
      <c r="AB2087" s="162" t="str">
        <f ca="1" t="shared" si="296"/>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4"/>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5"/>
        <v>0</v>
      </c>
      <c r="AB2088" s="162" t="str">
        <f ca="1" t="shared" si="296"/>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4"/>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5"/>
        <v>0</v>
      </c>
      <c r="AB2089" s="162" t="str">
        <f ca="1" t="shared" si="296"/>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4"/>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5"/>
        <v>0</v>
      </c>
      <c r="AB2090" s="162" t="str">
        <f ca="1" t="shared" si="296"/>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4"/>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5"/>
        <v>0</v>
      </c>
      <c r="AB2091" s="162" t="str">
        <f ca="1" t="shared" si="296"/>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4"/>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5"/>
        <v>0</v>
      </c>
      <c r="AB2092" s="162" t="str">
        <f ca="1" t="shared" si="296"/>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4"/>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5"/>
        <v>0</v>
      </c>
      <c r="AB2093" s="162" t="str">
        <f ca="1" t="shared" si="296"/>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4"/>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5"/>
        <v>0</v>
      </c>
      <c r="AB2094" s="162" t="str">
        <f ca="1" t="shared" si="296"/>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4"/>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5"/>
        <v>0</v>
      </c>
      <c r="AB2095" s="162" t="str">
        <f ca="1" t="shared" si="296"/>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4"/>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5"/>
        <v>0</v>
      </c>
      <c r="AB2096" s="162" t="str">
        <f ca="1" t="shared" si="296"/>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ref="S2097:S2127" si="297">IF(B2097="","",IF(ISERROR(MATCH($E2097,CL,0)),"Unknown",INDIRECT("'C'!$A$"&amp;MATCH($E2097,CL,0)+1)))</f>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ref="X2097:X2127" si="298">IF(AND(C2097="Smelter not listed",OR(LEN(D2097)=0,LEN(E2097)=0)),1,0)</f>
        <v>0</v>
      </c>
      <c r="AB2097" s="162" t="str">
        <f ca="1" t="shared" ref="AB2097:AB2127" si="299">B2097&amp;C2097</f>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7"/>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8"/>
        <v>0</v>
      </c>
      <c r="AB2098" s="162" t="str">
        <f ca="1" t="shared" si="299"/>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7"/>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8"/>
        <v>0</v>
      </c>
      <c r="AB2099" s="162" t="str">
        <f ca="1" t="shared" si="299"/>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7"/>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8"/>
        <v>0</v>
      </c>
      <c r="AB2100" s="162" t="str">
        <f ca="1" t="shared" si="299"/>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7"/>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8"/>
        <v>0</v>
      </c>
      <c r="AB2101" s="162" t="str">
        <f ca="1" t="shared" si="299"/>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7"/>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8"/>
        <v>0</v>
      </c>
      <c r="AB2102" s="162" t="str">
        <f ca="1" t="shared" si="299"/>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7"/>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8"/>
        <v>0</v>
      </c>
      <c r="AB2103" s="162" t="str">
        <f ca="1" t="shared" si="299"/>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7"/>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8"/>
        <v>0</v>
      </c>
      <c r="AB2104" s="162" t="str">
        <f ca="1" t="shared" si="299"/>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7"/>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8"/>
        <v>0</v>
      </c>
      <c r="AB2105" s="162" t="str">
        <f ca="1" t="shared" si="299"/>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7"/>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8"/>
        <v>0</v>
      </c>
      <c r="AB2106" s="162" t="str">
        <f ca="1" t="shared" si="299"/>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7"/>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8"/>
        <v>0</v>
      </c>
      <c r="AB2107" s="162" t="str">
        <f ca="1" t="shared" si="299"/>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7"/>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8"/>
        <v>0</v>
      </c>
      <c r="AB2108" s="162" t="str">
        <f ca="1" t="shared" si="299"/>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7"/>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8"/>
        <v>0</v>
      </c>
      <c r="AB2109" s="162" t="str">
        <f ca="1" t="shared" si="299"/>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7"/>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8"/>
        <v>0</v>
      </c>
      <c r="AB2110" s="162" t="str">
        <f ca="1" t="shared" si="299"/>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7"/>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8"/>
        <v>0</v>
      </c>
      <c r="AB2111" s="162" t="str">
        <f ca="1" t="shared" si="299"/>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7"/>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8"/>
        <v>0</v>
      </c>
      <c r="AB2112" s="162" t="str">
        <f ca="1" t="shared" si="299"/>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7"/>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8"/>
        <v>0</v>
      </c>
      <c r="AB2113" s="162" t="str">
        <f ca="1" t="shared" si="299"/>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7"/>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8"/>
        <v>0</v>
      </c>
      <c r="AB2114" s="162" t="str">
        <f ca="1" t="shared" si="299"/>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7"/>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8"/>
        <v>0</v>
      </c>
      <c r="AB2115" s="162" t="str">
        <f ca="1" t="shared" si="299"/>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7"/>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8"/>
        <v>0</v>
      </c>
      <c r="AB2116" s="162" t="str">
        <f ca="1" t="shared" si="299"/>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7"/>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8"/>
        <v>0</v>
      </c>
      <c r="AB2117" s="162" t="str">
        <f ca="1" t="shared" si="299"/>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7"/>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8"/>
        <v>0</v>
      </c>
      <c r="AB2118" s="162" t="str">
        <f ca="1" t="shared" si="299"/>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7"/>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8"/>
        <v>0</v>
      </c>
      <c r="AB2119" s="162" t="str">
        <f ca="1" t="shared" si="299"/>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7"/>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8"/>
        <v>0</v>
      </c>
      <c r="AB2120" s="162" t="str">
        <f ca="1" t="shared" si="299"/>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7"/>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8"/>
        <v>0</v>
      </c>
      <c r="AB2121" s="162" t="str">
        <f ca="1" t="shared" si="299"/>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7"/>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8"/>
        <v>0</v>
      </c>
      <c r="AB2122" s="162" t="str">
        <f ca="1" t="shared" si="299"/>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7"/>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8"/>
        <v>0</v>
      </c>
      <c r="AB2123" s="162" t="str">
        <f ca="1" t="shared" si="299"/>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7"/>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8"/>
        <v>0</v>
      </c>
      <c r="AB2124" s="162" t="str">
        <f ca="1" t="shared" si="299"/>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7"/>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8"/>
        <v>0</v>
      </c>
      <c r="AB2125" s="162" t="str">
        <f ca="1" t="shared" si="299"/>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7"/>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8"/>
        <v>0</v>
      </c>
      <c r="AB2126" s="162" t="str">
        <f ca="1" t="shared" si="299"/>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7"/>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8"/>
        <v>0</v>
      </c>
      <c r="AB2127" s="162" t="str">
        <f ca="1" t="shared" si="299"/>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ref="S2128" si="300">IF(B2128="","",IF(ISERROR(MATCH($E2128,CL,0)),"Unknown",INDIRECT("'C'!$A$"&amp;MATCH($E2128,CL,0)+1)))</f>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ref="X2128" si="301">IF(AND(C2128="Smelter not listed",OR(LEN(D2128)=0,LEN(E2128)=0)),1,0)</f>
        <v>0</v>
      </c>
      <c r="AB2128" s="162" t="str">
        <f ca="1" t="shared" ref="AB2128" si="302">B2128&amp;C2128</f>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ref="S2129:S2160" si="303">IF(B2129="","",IF(ISERROR(MATCH($E2129,CL,0)),"Unknown",INDIRECT("'C'!$A$"&amp;MATCH($E2129,CL,0)+1)))</f>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ref="X2129:X2160" si="304">IF(AND(C2129="Smelter not listed",OR(LEN(D2129)=0,LEN(E2129)=0)),1,0)</f>
        <v>0</v>
      </c>
      <c r="AB2129" s="162" t="str">
        <f ca="1" t="shared" ref="AB2129:AB2160" si="305">B2129&amp;C2129</f>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3"/>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4"/>
        <v>0</v>
      </c>
      <c r="AB2130" s="162" t="str">
        <f ca="1" t="shared" si="305"/>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3"/>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4"/>
        <v>0</v>
      </c>
      <c r="AB2131" s="162" t="str">
        <f ca="1" t="shared" si="305"/>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3"/>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4"/>
        <v>0</v>
      </c>
      <c r="AB2132" s="162" t="str">
        <f ca="1" t="shared" si="305"/>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3"/>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4"/>
        <v>0</v>
      </c>
      <c r="AB2133" s="162" t="str">
        <f ca="1" t="shared" si="305"/>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3"/>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4"/>
        <v>0</v>
      </c>
      <c r="AB2134" s="162" t="str">
        <f ca="1" t="shared" si="305"/>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3"/>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4"/>
        <v>0</v>
      </c>
      <c r="AB2135" s="162" t="str">
        <f ca="1" t="shared" si="305"/>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3"/>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4"/>
        <v>0</v>
      </c>
      <c r="AB2136" s="162" t="str">
        <f ca="1" t="shared" si="305"/>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3"/>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4"/>
        <v>0</v>
      </c>
      <c r="AB2137" s="162" t="str">
        <f ca="1" t="shared" si="305"/>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3"/>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4"/>
        <v>0</v>
      </c>
      <c r="AB2138" s="162" t="str">
        <f ca="1" t="shared" si="305"/>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3"/>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4"/>
        <v>0</v>
      </c>
      <c r="AB2139" s="162" t="str">
        <f ca="1" t="shared" si="305"/>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3"/>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4"/>
        <v>0</v>
      </c>
      <c r="AB2140" s="162" t="str">
        <f ca="1" t="shared" si="305"/>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3"/>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4"/>
        <v>0</v>
      </c>
      <c r="AB2141" s="162" t="str">
        <f ca="1" t="shared" si="305"/>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3"/>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4"/>
        <v>0</v>
      </c>
      <c r="AB2142" s="162" t="str">
        <f ca="1" t="shared" si="305"/>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3"/>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4"/>
        <v>0</v>
      </c>
      <c r="AB2143" s="162" t="str">
        <f ca="1" t="shared" si="305"/>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3"/>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4"/>
        <v>0</v>
      </c>
      <c r="AB2144" s="162" t="str">
        <f ca="1" t="shared" si="305"/>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3"/>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4"/>
        <v>0</v>
      </c>
      <c r="AB2145" s="162" t="str">
        <f ca="1" t="shared" si="305"/>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3"/>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4"/>
        <v>0</v>
      </c>
      <c r="AB2146" s="162" t="str">
        <f ca="1" t="shared" si="305"/>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3"/>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4"/>
        <v>0</v>
      </c>
      <c r="AB2147" s="162" t="str">
        <f ca="1" t="shared" si="305"/>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3"/>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4"/>
        <v>0</v>
      </c>
      <c r="AB2148" s="162" t="str">
        <f ca="1" t="shared" si="305"/>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3"/>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4"/>
        <v>0</v>
      </c>
      <c r="AB2149" s="162" t="str">
        <f ca="1" t="shared" si="305"/>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3"/>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4"/>
        <v>0</v>
      </c>
      <c r="AB2150" s="162" t="str">
        <f ca="1" t="shared" si="305"/>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3"/>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4"/>
        <v>0</v>
      </c>
      <c r="AB2151" s="162" t="str">
        <f ca="1" t="shared" si="305"/>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3"/>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4"/>
        <v>0</v>
      </c>
      <c r="AB2152" s="162" t="str">
        <f ca="1" t="shared" si="305"/>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3"/>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4"/>
        <v>0</v>
      </c>
      <c r="AB2153" s="162" t="str">
        <f ca="1" t="shared" si="305"/>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3"/>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4"/>
        <v>0</v>
      </c>
      <c r="AB2154" s="162" t="str">
        <f ca="1" t="shared" si="305"/>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3"/>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4"/>
        <v>0</v>
      </c>
      <c r="AB2155" s="162" t="str">
        <f ca="1" t="shared" si="305"/>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3"/>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4"/>
        <v>0</v>
      </c>
      <c r="AB2156" s="162" t="str">
        <f ca="1" t="shared" si="305"/>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3"/>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4"/>
        <v>0</v>
      </c>
      <c r="AB2157" s="162" t="str">
        <f ca="1" t="shared" si="305"/>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3"/>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4"/>
        <v>0</v>
      </c>
      <c r="AB2158" s="162" t="str">
        <f ca="1" t="shared" si="305"/>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3"/>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4"/>
        <v>0</v>
      </c>
      <c r="AB2159" s="162" t="str">
        <f ca="1" t="shared" si="305"/>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3"/>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4"/>
        <v>0</v>
      </c>
      <c r="AB2160" s="162" t="str">
        <f ca="1" t="shared" si="305"/>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ref="S2161:S2191" si="306">IF(B2161="","",IF(ISERROR(MATCH($E2161,CL,0)),"Unknown",INDIRECT("'C'!$A$"&amp;MATCH($E2161,CL,0)+1)))</f>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ref="X2161:X2191" si="307">IF(AND(C2161="Smelter not listed",OR(LEN(D2161)=0,LEN(E2161)=0)),1,0)</f>
        <v>0</v>
      </c>
      <c r="AB2161" s="162" t="str">
        <f ca="1" t="shared" ref="AB2161:AB2191" si="308">B2161&amp;C2161</f>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6"/>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7"/>
        <v>0</v>
      </c>
      <c r="AB2162" s="162" t="str">
        <f ca="1" t="shared" si="308"/>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6"/>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7"/>
        <v>0</v>
      </c>
      <c r="AB2163" s="162" t="str">
        <f ca="1" t="shared" si="308"/>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6"/>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7"/>
        <v>0</v>
      </c>
      <c r="AB2164" s="162" t="str">
        <f ca="1" t="shared" si="308"/>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6"/>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7"/>
        <v>0</v>
      </c>
      <c r="AB2165" s="162" t="str">
        <f ca="1" t="shared" si="308"/>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6"/>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7"/>
        <v>0</v>
      </c>
      <c r="AB2166" s="162" t="str">
        <f ca="1" t="shared" si="308"/>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6"/>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7"/>
        <v>0</v>
      </c>
      <c r="AB2167" s="162" t="str">
        <f ca="1" t="shared" si="308"/>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6"/>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7"/>
        <v>0</v>
      </c>
      <c r="AB2168" s="162" t="str">
        <f ca="1" t="shared" si="308"/>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6"/>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7"/>
        <v>0</v>
      </c>
      <c r="AB2169" s="162" t="str">
        <f ca="1" t="shared" si="308"/>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6"/>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7"/>
        <v>0</v>
      </c>
      <c r="AB2170" s="162" t="str">
        <f ca="1" t="shared" si="308"/>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6"/>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7"/>
        <v>0</v>
      </c>
      <c r="AB2171" s="162" t="str">
        <f ca="1" t="shared" si="308"/>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6"/>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7"/>
        <v>0</v>
      </c>
      <c r="AB2172" s="162" t="str">
        <f ca="1" t="shared" si="308"/>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6"/>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7"/>
        <v>0</v>
      </c>
      <c r="AB2173" s="162" t="str">
        <f ca="1" t="shared" si="308"/>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6"/>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7"/>
        <v>0</v>
      </c>
      <c r="AB2174" s="162" t="str">
        <f ca="1" t="shared" si="308"/>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6"/>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7"/>
        <v>0</v>
      </c>
      <c r="AB2175" s="162" t="str">
        <f ca="1" t="shared" si="308"/>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6"/>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7"/>
        <v>0</v>
      </c>
      <c r="AB2176" s="162" t="str">
        <f ca="1" t="shared" si="308"/>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6"/>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7"/>
        <v>0</v>
      </c>
      <c r="AB2177" s="162" t="str">
        <f ca="1" t="shared" si="308"/>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6"/>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7"/>
        <v>0</v>
      </c>
      <c r="AB2178" s="162" t="str">
        <f ca="1" t="shared" si="308"/>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6"/>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7"/>
        <v>0</v>
      </c>
      <c r="AB2179" s="162" t="str">
        <f ca="1" t="shared" si="308"/>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6"/>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7"/>
        <v>0</v>
      </c>
      <c r="AB2180" s="162" t="str">
        <f ca="1" t="shared" si="308"/>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6"/>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7"/>
        <v>0</v>
      </c>
      <c r="AB2181" s="162" t="str">
        <f ca="1" t="shared" si="308"/>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6"/>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7"/>
        <v>0</v>
      </c>
      <c r="AB2182" s="162" t="str">
        <f ca="1" t="shared" si="308"/>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6"/>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7"/>
        <v>0</v>
      </c>
      <c r="AB2183" s="162" t="str">
        <f ca="1" t="shared" si="308"/>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6"/>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7"/>
        <v>0</v>
      </c>
      <c r="AB2184" s="162" t="str">
        <f ca="1" t="shared" si="308"/>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6"/>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7"/>
        <v>0</v>
      </c>
      <c r="AB2185" s="162" t="str">
        <f ca="1" t="shared" si="308"/>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6"/>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7"/>
        <v>0</v>
      </c>
      <c r="AB2186" s="162" t="str">
        <f ca="1" t="shared" si="308"/>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6"/>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7"/>
        <v>0</v>
      </c>
      <c r="AB2187" s="162" t="str">
        <f ca="1" t="shared" si="308"/>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6"/>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7"/>
        <v>0</v>
      </c>
      <c r="AB2188" s="162" t="str">
        <f ca="1" t="shared" si="308"/>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6"/>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7"/>
        <v>0</v>
      </c>
      <c r="AB2189" s="162" t="str">
        <f ca="1" t="shared" si="308"/>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6"/>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7"/>
        <v>0</v>
      </c>
      <c r="AB2190" s="162" t="str">
        <f ca="1" t="shared" si="308"/>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6"/>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7"/>
        <v>0</v>
      </c>
      <c r="AB2191" s="162" t="str">
        <f ca="1" t="shared" si="308"/>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ref="S2192" si="309">IF(B2192="","",IF(ISERROR(MATCH($E2192,CL,0)),"Unknown",INDIRECT("'C'!$A$"&amp;MATCH($E2192,CL,0)+1)))</f>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ref="X2192" si="310">IF(AND(C2192="Smelter not listed",OR(LEN(D2192)=0,LEN(E2192)=0)),1,0)</f>
        <v>0</v>
      </c>
      <c r="AB2192" s="162" t="str">
        <f ca="1" t="shared" ref="AB2192" si="311">B2192&amp;C2192</f>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ref="S2193:S2224" si="312">IF(B2193="","",IF(ISERROR(MATCH($E2193,CL,0)),"Unknown",INDIRECT("'C'!$A$"&amp;MATCH($E2193,CL,0)+1)))</f>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ref="X2193:X2224" si="313">IF(AND(C2193="Smelter not listed",OR(LEN(D2193)=0,LEN(E2193)=0)),1,0)</f>
        <v>0</v>
      </c>
      <c r="AB2193" s="162" t="str">
        <f ca="1" t="shared" ref="AB2193:AB2224" si="314">B2193&amp;C2193</f>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2"/>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3"/>
        <v>0</v>
      </c>
      <c r="AB2194" s="162" t="str">
        <f ca="1" t="shared" si="314"/>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2"/>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3"/>
        <v>0</v>
      </c>
      <c r="AB2195" s="162" t="str">
        <f ca="1" t="shared" si="314"/>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2"/>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3"/>
        <v>0</v>
      </c>
      <c r="AB2196" s="162" t="str">
        <f ca="1" t="shared" si="314"/>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2"/>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3"/>
        <v>0</v>
      </c>
      <c r="AB2197" s="162" t="str">
        <f ca="1" t="shared" si="314"/>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2"/>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3"/>
        <v>0</v>
      </c>
      <c r="AB2198" s="162" t="str">
        <f ca="1" t="shared" si="314"/>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2"/>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3"/>
        <v>0</v>
      </c>
      <c r="AB2199" s="162" t="str">
        <f ca="1" t="shared" si="314"/>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2"/>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3"/>
        <v>0</v>
      </c>
      <c r="AB2200" s="162" t="str">
        <f ca="1" t="shared" si="314"/>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2"/>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3"/>
        <v>0</v>
      </c>
      <c r="AB2201" s="162" t="str">
        <f ca="1" t="shared" si="314"/>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2"/>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3"/>
        <v>0</v>
      </c>
      <c r="AB2202" s="162" t="str">
        <f ca="1" t="shared" si="314"/>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2"/>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3"/>
        <v>0</v>
      </c>
      <c r="AB2203" s="162" t="str">
        <f ca="1" t="shared" si="314"/>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2"/>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3"/>
        <v>0</v>
      </c>
      <c r="AB2204" s="162" t="str">
        <f ca="1" t="shared" si="314"/>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2"/>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3"/>
        <v>0</v>
      </c>
      <c r="AB2205" s="162" t="str">
        <f ca="1" t="shared" si="314"/>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2"/>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3"/>
        <v>0</v>
      </c>
      <c r="AB2206" s="162" t="str">
        <f ca="1" t="shared" si="314"/>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2"/>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3"/>
        <v>0</v>
      </c>
      <c r="AB2207" s="162" t="str">
        <f ca="1" t="shared" si="314"/>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2"/>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3"/>
        <v>0</v>
      </c>
      <c r="AB2208" s="162" t="str">
        <f ca="1" t="shared" si="314"/>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2"/>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3"/>
        <v>0</v>
      </c>
      <c r="AB2209" s="162" t="str">
        <f ca="1" t="shared" si="314"/>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2"/>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3"/>
        <v>0</v>
      </c>
      <c r="AB2210" s="162" t="str">
        <f ca="1" t="shared" si="314"/>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2"/>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3"/>
        <v>0</v>
      </c>
      <c r="AB2211" s="162" t="str">
        <f ca="1" t="shared" si="314"/>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2"/>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3"/>
        <v>0</v>
      </c>
      <c r="AB2212" s="162" t="str">
        <f ca="1" t="shared" si="314"/>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2"/>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3"/>
        <v>0</v>
      </c>
      <c r="AB2213" s="162" t="str">
        <f ca="1" t="shared" si="314"/>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2"/>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3"/>
        <v>0</v>
      </c>
      <c r="AB2214" s="162" t="str">
        <f ca="1" t="shared" si="314"/>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2"/>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3"/>
        <v>0</v>
      </c>
      <c r="AB2215" s="162" t="str">
        <f ca="1" t="shared" si="314"/>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2"/>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3"/>
        <v>0</v>
      </c>
      <c r="AB2216" s="162" t="str">
        <f ca="1" t="shared" si="314"/>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2"/>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3"/>
        <v>0</v>
      </c>
      <c r="AB2217" s="162" t="str">
        <f ca="1" t="shared" si="314"/>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2"/>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3"/>
        <v>0</v>
      </c>
      <c r="AB2218" s="162" t="str">
        <f ca="1" t="shared" si="314"/>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2"/>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3"/>
        <v>0</v>
      </c>
      <c r="AB2219" s="162" t="str">
        <f ca="1" t="shared" si="314"/>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2"/>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3"/>
        <v>0</v>
      </c>
      <c r="AB2220" s="162" t="str">
        <f ca="1" t="shared" si="314"/>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2"/>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3"/>
        <v>0</v>
      </c>
      <c r="AB2221" s="162" t="str">
        <f ca="1" t="shared" si="314"/>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2"/>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3"/>
        <v>0</v>
      </c>
      <c r="AB2222" s="162" t="str">
        <f ca="1" t="shared" si="314"/>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2"/>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3"/>
        <v>0</v>
      </c>
      <c r="AB2223" s="162" t="str">
        <f ca="1" t="shared" si="314"/>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2"/>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3"/>
        <v>0</v>
      </c>
      <c r="AB2224" s="162" t="str">
        <f ca="1" t="shared" si="314"/>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ref="S2225:S2255" si="315">IF(B2225="","",IF(ISERROR(MATCH($E2225,CL,0)),"Unknown",INDIRECT("'C'!$A$"&amp;MATCH($E2225,CL,0)+1)))</f>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ref="X2225:X2255" si="316">IF(AND(C2225="Smelter not listed",OR(LEN(D2225)=0,LEN(E2225)=0)),1,0)</f>
        <v>0</v>
      </c>
      <c r="AB2225" s="162" t="str">
        <f ca="1" t="shared" ref="AB2225:AB2255" si="317">B2225&amp;C2225</f>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5"/>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6"/>
        <v>0</v>
      </c>
      <c r="AB2226" s="162" t="str">
        <f ca="1" t="shared" si="317"/>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5"/>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6"/>
        <v>0</v>
      </c>
      <c r="AB2227" s="162" t="str">
        <f ca="1" t="shared" si="317"/>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5"/>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6"/>
        <v>0</v>
      </c>
      <c r="AB2228" s="162" t="str">
        <f ca="1" t="shared" si="317"/>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5"/>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6"/>
        <v>0</v>
      </c>
      <c r="AB2229" s="162" t="str">
        <f ca="1" t="shared" si="317"/>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5"/>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6"/>
        <v>0</v>
      </c>
      <c r="AB2230" s="162" t="str">
        <f ca="1" t="shared" si="317"/>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5"/>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6"/>
        <v>0</v>
      </c>
      <c r="AB2231" s="162" t="str">
        <f ca="1" t="shared" si="317"/>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5"/>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6"/>
        <v>0</v>
      </c>
      <c r="AB2232" s="162" t="str">
        <f ca="1" t="shared" si="317"/>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5"/>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6"/>
        <v>0</v>
      </c>
      <c r="AB2233" s="162" t="str">
        <f ca="1" t="shared" si="317"/>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5"/>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6"/>
        <v>0</v>
      </c>
      <c r="AB2234" s="162" t="str">
        <f ca="1" t="shared" si="317"/>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5"/>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6"/>
        <v>0</v>
      </c>
      <c r="AB2235" s="162" t="str">
        <f ca="1" t="shared" si="317"/>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5"/>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6"/>
        <v>0</v>
      </c>
      <c r="AB2236" s="162" t="str">
        <f ca="1" t="shared" si="317"/>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5"/>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6"/>
        <v>0</v>
      </c>
      <c r="AB2237" s="162" t="str">
        <f ca="1" t="shared" si="317"/>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5"/>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6"/>
        <v>0</v>
      </c>
      <c r="AB2238" s="162" t="str">
        <f ca="1" t="shared" si="317"/>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5"/>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6"/>
        <v>0</v>
      </c>
      <c r="AB2239" s="162" t="str">
        <f ca="1" t="shared" si="317"/>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5"/>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6"/>
        <v>0</v>
      </c>
      <c r="AB2240" s="162" t="str">
        <f ca="1" t="shared" si="317"/>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5"/>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6"/>
        <v>0</v>
      </c>
      <c r="AB2241" s="162" t="str">
        <f ca="1" t="shared" si="317"/>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5"/>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6"/>
        <v>0</v>
      </c>
      <c r="AB2242" s="162" t="str">
        <f ca="1" t="shared" si="317"/>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5"/>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6"/>
        <v>0</v>
      </c>
      <c r="AB2243" s="162" t="str">
        <f ca="1" t="shared" si="317"/>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5"/>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6"/>
        <v>0</v>
      </c>
      <c r="AB2244" s="162" t="str">
        <f ca="1" t="shared" si="317"/>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5"/>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6"/>
        <v>0</v>
      </c>
      <c r="AB2245" s="162" t="str">
        <f ca="1" t="shared" si="317"/>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5"/>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6"/>
        <v>0</v>
      </c>
      <c r="AB2246" s="162" t="str">
        <f ca="1" t="shared" si="317"/>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5"/>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6"/>
        <v>0</v>
      </c>
      <c r="AB2247" s="162" t="str">
        <f ca="1" t="shared" si="317"/>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5"/>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6"/>
        <v>0</v>
      </c>
      <c r="AB2248" s="162" t="str">
        <f ca="1" t="shared" si="317"/>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5"/>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6"/>
        <v>0</v>
      </c>
      <c r="AB2249" s="162" t="str">
        <f ca="1" t="shared" si="317"/>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5"/>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6"/>
        <v>0</v>
      </c>
      <c r="AB2250" s="162" t="str">
        <f ca="1" t="shared" si="317"/>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5"/>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6"/>
        <v>0</v>
      </c>
      <c r="AB2251" s="162" t="str">
        <f ca="1" t="shared" si="317"/>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5"/>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6"/>
        <v>0</v>
      </c>
      <c r="AB2252" s="162" t="str">
        <f ca="1" t="shared" si="317"/>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5"/>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6"/>
        <v>0</v>
      </c>
      <c r="AB2253" s="162" t="str">
        <f ca="1" t="shared" si="317"/>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5"/>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6"/>
        <v>0</v>
      </c>
      <c r="AB2254" s="162" t="str">
        <f ca="1" t="shared" si="317"/>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5"/>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6"/>
        <v>0</v>
      </c>
      <c r="AB2255" s="162" t="str">
        <f ca="1" t="shared" si="317"/>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ref="S2256" si="318">IF(B2256="","",IF(ISERROR(MATCH($E2256,CL,0)),"Unknown",INDIRECT("'C'!$A$"&amp;MATCH($E2256,CL,0)+1)))</f>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ref="X2256" si="319">IF(AND(C2256="Smelter not listed",OR(LEN(D2256)=0,LEN(E2256)=0)),1,0)</f>
        <v>0</v>
      </c>
      <c r="AB2256" s="162" t="str">
        <f ca="1" t="shared" ref="AB2256" si="320">B2256&amp;C2256</f>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ref="S2257:S2288" si="321">IF(B2257="","",IF(ISERROR(MATCH($E2257,CL,0)),"Unknown",INDIRECT("'C'!$A$"&amp;MATCH($E2257,CL,0)+1)))</f>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ref="X2257:X2288" si="322">IF(AND(C2257="Smelter not listed",OR(LEN(D2257)=0,LEN(E2257)=0)),1,0)</f>
        <v>0</v>
      </c>
      <c r="AB2257" s="162" t="str">
        <f ca="1" t="shared" ref="AB2257:AB2288" si="323">B2257&amp;C2257</f>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21"/>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2"/>
        <v>0</v>
      </c>
      <c r="AB2258" s="162" t="str">
        <f ca="1" t="shared" si="323"/>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21"/>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2"/>
        <v>0</v>
      </c>
      <c r="AB2259" s="162" t="str">
        <f ca="1" t="shared" si="323"/>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21"/>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2"/>
        <v>0</v>
      </c>
      <c r="AB2260" s="162" t="str">
        <f ca="1" t="shared" si="323"/>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21"/>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2"/>
        <v>0</v>
      </c>
      <c r="AB2261" s="162" t="str">
        <f ca="1" t="shared" si="323"/>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21"/>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2"/>
        <v>0</v>
      </c>
      <c r="AB2262" s="162" t="str">
        <f ca="1" t="shared" si="323"/>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21"/>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2"/>
        <v>0</v>
      </c>
      <c r="AB2263" s="162" t="str">
        <f ca="1" t="shared" si="323"/>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21"/>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2"/>
        <v>0</v>
      </c>
      <c r="AB2264" s="162" t="str">
        <f ca="1" t="shared" si="323"/>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1"/>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2"/>
        <v>0</v>
      </c>
      <c r="AB2265" s="162" t="str">
        <f ca="1" t="shared" si="323"/>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1"/>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2"/>
        <v>0</v>
      </c>
      <c r="AB2266" s="162" t="str">
        <f ca="1" t="shared" si="323"/>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1"/>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2"/>
        <v>0</v>
      </c>
      <c r="AB2267" s="162" t="str">
        <f ca="1" t="shared" si="323"/>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1"/>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2"/>
        <v>0</v>
      </c>
      <c r="AB2268" s="162" t="str">
        <f ca="1" t="shared" si="323"/>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1"/>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2"/>
        <v>0</v>
      </c>
      <c r="AB2269" s="162" t="str">
        <f ca="1" t="shared" si="323"/>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1"/>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2"/>
        <v>0</v>
      </c>
      <c r="AB2270" s="162" t="str">
        <f ca="1" t="shared" si="323"/>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1"/>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2"/>
        <v>0</v>
      </c>
      <c r="AB2271" s="162" t="str">
        <f ca="1" t="shared" si="323"/>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1"/>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2"/>
        <v>0</v>
      </c>
      <c r="AB2272" s="162" t="str">
        <f ca="1" t="shared" si="323"/>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1"/>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2"/>
        <v>0</v>
      </c>
      <c r="AB2273" s="162" t="str">
        <f ca="1" t="shared" si="323"/>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1"/>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2"/>
        <v>0</v>
      </c>
      <c r="AB2274" s="162" t="str">
        <f ca="1" t="shared" si="323"/>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1"/>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2"/>
        <v>0</v>
      </c>
      <c r="AB2275" s="162" t="str">
        <f ca="1" t="shared" si="323"/>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1"/>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2"/>
        <v>0</v>
      </c>
      <c r="AB2276" s="162" t="str">
        <f ca="1" t="shared" si="323"/>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1"/>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2"/>
        <v>0</v>
      </c>
      <c r="AB2277" s="162" t="str">
        <f ca="1" t="shared" si="323"/>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1"/>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2"/>
        <v>0</v>
      </c>
      <c r="AB2278" s="162" t="str">
        <f ca="1" t="shared" si="323"/>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1"/>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2"/>
        <v>0</v>
      </c>
      <c r="AB2279" s="162" t="str">
        <f ca="1" t="shared" si="323"/>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1"/>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2"/>
        <v>0</v>
      </c>
      <c r="AB2280" s="162" t="str">
        <f ca="1" t="shared" si="323"/>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1"/>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2"/>
        <v>0</v>
      </c>
      <c r="AB2281" s="162" t="str">
        <f ca="1" t="shared" si="323"/>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1"/>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2"/>
        <v>0</v>
      </c>
      <c r="AB2282" s="162" t="str">
        <f ca="1" t="shared" si="323"/>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1"/>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2"/>
        <v>0</v>
      </c>
      <c r="AB2283" s="162" t="str">
        <f ca="1" t="shared" si="323"/>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1"/>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2"/>
        <v>0</v>
      </c>
      <c r="AB2284" s="162" t="str">
        <f ca="1" t="shared" si="323"/>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1"/>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2"/>
        <v>0</v>
      </c>
      <c r="AB2285" s="162" t="str">
        <f ca="1" t="shared" si="323"/>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1"/>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2"/>
        <v>0</v>
      </c>
      <c r="AB2286" s="162" t="str">
        <f ca="1" t="shared" si="323"/>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1"/>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2"/>
        <v>0</v>
      </c>
      <c r="AB2287" s="162" t="str">
        <f ca="1" t="shared" si="323"/>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1"/>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2"/>
        <v>0</v>
      </c>
      <c r="AB2288" s="162" t="str">
        <f ca="1" t="shared" si="323"/>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ref="S2289:S2319" si="324">IF(B2289="","",IF(ISERROR(MATCH($E2289,CL,0)),"Unknown",INDIRECT("'C'!$A$"&amp;MATCH($E2289,CL,0)+1)))</f>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ref="X2289:X2319" si="325">IF(AND(C2289="Smelter not listed",OR(LEN(D2289)=0,LEN(E2289)=0)),1,0)</f>
        <v>0</v>
      </c>
      <c r="AB2289" s="162" t="str">
        <f ca="1" t="shared" ref="AB2289:AB2319" si="326">B2289&amp;C2289</f>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4"/>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5"/>
        <v>0</v>
      </c>
      <c r="AB2290" s="162" t="str">
        <f ca="1" t="shared" si="326"/>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4"/>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5"/>
        <v>0</v>
      </c>
      <c r="AB2291" s="162" t="str">
        <f ca="1" t="shared" si="326"/>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4"/>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5"/>
        <v>0</v>
      </c>
      <c r="AB2292" s="162" t="str">
        <f ca="1" t="shared" si="326"/>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4"/>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5"/>
        <v>0</v>
      </c>
      <c r="AB2293" s="162" t="str">
        <f ca="1" t="shared" si="326"/>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4"/>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5"/>
        <v>0</v>
      </c>
      <c r="AB2294" s="162" t="str">
        <f ca="1" t="shared" si="326"/>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4"/>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5"/>
        <v>0</v>
      </c>
      <c r="AB2295" s="162" t="str">
        <f ca="1" t="shared" si="326"/>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4"/>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5"/>
        <v>0</v>
      </c>
      <c r="AB2296" s="162" t="str">
        <f ca="1" t="shared" si="326"/>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4"/>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5"/>
        <v>0</v>
      </c>
      <c r="AB2297" s="162" t="str">
        <f ca="1" t="shared" si="326"/>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4"/>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5"/>
        <v>0</v>
      </c>
      <c r="AB2298" s="162" t="str">
        <f ca="1" t="shared" si="326"/>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4"/>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5"/>
        <v>0</v>
      </c>
      <c r="AB2299" s="162" t="str">
        <f ca="1" t="shared" si="326"/>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4"/>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5"/>
        <v>0</v>
      </c>
      <c r="AB2300" s="162" t="str">
        <f ca="1" t="shared" si="326"/>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4"/>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5"/>
        <v>0</v>
      </c>
      <c r="AB2301" s="162" t="str">
        <f ca="1" t="shared" si="326"/>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4"/>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5"/>
        <v>0</v>
      </c>
      <c r="AB2302" s="162" t="str">
        <f ca="1" t="shared" si="326"/>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4"/>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5"/>
        <v>0</v>
      </c>
      <c r="AB2303" s="162" t="str">
        <f ca="1" t="shared" si="326"/>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4"/>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5"/>
        <v>0</v>
      </c>
      <c r="AB2304" s="162" t="str">
        <f ca="1" t="shared" si="326"/>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4"/>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5"/>
        <v>0</v>
      </c>
      <c r="AB2305" s="162" t="str">
        <f ca="1" t="shared" si="326"/>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4"/>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5"/>
        <v>0</v>
      </c>
      <c r="AB2306" s="162" t="str">
        <f ca="1" t="shared" si="326"/>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4"/>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5"/>
        <v>0</v>
      </c>
      <c r="AB2307" s="162" t="str">
        <f ca="1" t="shared" si="326"/>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4"/>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5"/>
        <v>0</v>
      </c>
      <c r="AB2308" s="162" t="str">
        <f ca="1" t="shared" si="326"/>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4"/>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5"/>
        <v>0</v>
      </c>
      <c r="AB2309" s="162" t="str">
        <f ca="1" t="shared" si="326"/>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4"/>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5"/>
        <v>0</v>
      </c>
      <c r="AB2310" s="162" t="str">
        <f ca="1" t="shared" si="326"/>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4"/>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5"/>
        <v>0</v>
      </c>
      <c r="AB2311" s="162" t="str">
        <f ca="1" t="shared" si="326"/>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4"/>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5"/>
        <v>0</v>
      </c>
      <c r="AB2312" s="162" t="str">
        <f ca="1" t="shared" si="326"/>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4"/>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5"/>
        <v>0</v>
      </c>
      <c r="AB2313" s="162" t="str">
        <f ca="1" t="shared" si="326"/>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4"/>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5"/>
        <v>0</v>
      </c>
      <c r="AB2314" s="162" t="str">
        <f ca="1" t="shared" si="326"/>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4"/>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5"/>
        <v>0</v>
      </c>
      <c r="AB2315" s="162" t="str">
        <f ca="1" t="shared" si="326"/>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4"/>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5"/>
        <v>0</v>
      </c>
      <c r="AB2316" s="162" t="str">
        <f ca="1" t="shared" si="326"/>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4"/>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5"/>
        <v>0</v>
      </c>
      <c r="AB2317" s="162" t="str">
        <f ca="1" t="shared" si="326"/>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4"/>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5"/>
        <v>0</v>
      </c>
      <c r="AB2318" s="162" t="str">
        <f ca="1" t="shared" si="326"/>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4"/>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5"/>
        <v>0</v>
      </c>
      <c r="AB2319" s="162" t="str">
        <f ca="1" t="shared" si="326"/>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ref="S2320" si="327">IF(B2320="","",IF(ISERROR(MATCH($E2320,CL,0)),"Unknown",INDIRECT("'C'!$A$"&amp;MATCH($E2320,CL,0)+1)))</f>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ref="X2320" si="328">IF(AND(C2320="Smelter not listed",OR(LEN(D2320)=0,LEN(E2320)=0)),1,0)</f>
        <v>0</v>
      </c>
      <c r="AB2320" s="162" t="str">
        <f ca="1" t="shared" ref="AB2320" si="329">B2320&amp;C2320</f>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ref="S2321:S2352" si="330">IF(B2321="","",IF(ISERROR(MATCH($E2321,CL,0)),"Unknown",INDIRECT("'C'!$A$"&amp;MATCH($E2321,CL,0)+1)))</f>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ref="X2321:X2352" si="331">IF(AND(C2321="Smelter not listed",OR(LEN(D2321)=0,LEN(E2321)=0)),1,0)</f>
        <v>0</v>
      </c>
      <c r="AB2321" s="162" t="str">
        <f ca="1" t="shared" ref="AB2321:AB2352" si="332">B2321&amp;C2321</f>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30"/>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31"/>
        <v>0</v>
      </c>
      <c r="AB2322" s="162" t="str">
        <f ca="1" t="shared" si="332"/>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30"/>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31"/>
        <v>0</v>
      </c>
      <c r="AB2323" s="162" t="str">
        <f ca="1" t="shared" si="332"/>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30"/>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31"/>
        <v>0</v>
      </c>
      <c r="AB2324" s="162" t="str">
        <f ca="1" t="shared" si="332"/>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30"/>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31"/>
        <v>0</v>
      </c>
      <c r="AB2325" s="162" t="str">
        <f ca="1" t="shared" si="332"/>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30"/>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31"/>
        <v>0</v>
      </c>
      <c r="AB2326" s="162" t="str">
        <f ca="1" t="shared" si="332"/>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30"/>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31"/>
        <v>0</v>
      </c>
      <c r="AB2327" s="162" t="str">
        <f ca="1" t="shared" si="332"/>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30"/>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31"/>
        <v>0</v>
      </c>
      <c r="AB2328" s="162" t="str">
        <f ca="1" t="shared" si="332"/>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0"/>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1"/>
        <v>0</v>
      </c>
      <c r="AB2329" s="162" t="str">
        <f ca="1" t="shared" si="332"/>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0"/>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1"/>
        <v>0</v>
      </c>
      <c r="AB2330" s="162" t="str">
        <f ca="1" t="shared" si="332"/>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0"/>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1"/>
        <v>0</v>
      </c>
      <c r="AB2331" s="162" t="str">
        <f ca="1" t="shared" si="332"/>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0"/>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1"/>
        <v>0</v>
      </c>
      <c r="AB2332" s="162" t="str">
        <f ca="1" t="shared" si="332"/>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0"/>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1"/>
        <v>0</v>
      </c>
      <c r="AB2333" s="162" t="str">
        <f ca="1" t="shared" si="332"/>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0"/>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1"/>
        <v>0</v>
      </c>
      <c r="AB2334" s="162" t="str">
        <f ca="1" t="shared" si="332"/>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0"/>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1"/>
        <v>0</v>
      </c>
      <c r="AB2335" s="162" t="str">
        <f ca="1" t="shared" si="332"/>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0"/>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1"/>
        <v>0</v>
      </c>
      <c r="AB2336" s="162" t="str">
        <f ca="1" t="shared" si="332"/>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0"/>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1"/>
        <v>0</v>
      </c>
      <c r="AB2337" s="162" t="str">
        <f ca="1" t="shared" si="332"/>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0"/>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1"/>
        <v>0</v>
      </c>
      <c r="AB2338" s="162" t="str">
        <f ca="1" t="shared" si="332"/>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0"/>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1"/>
        <v>0</v>
      </c>
      <c r="AB2339" s="162" t="str">
        <f ca="1" t="shared" si="332"/>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0"/>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1"/>
        <v>0</v>
      </c>
      <c r="AB2340" s="162" t="str">
        <f ca="1" t="shared" si="332"/>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0"/>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1"/>
        <v>0</v>
      </c>
      <c r="AB2341" s="162" t="str">
        <f ca="1" t="shared" si="332"/>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0"/>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1"/>
        <v>0</v>
      </c>
      <c r="AB2342" s="162" t="str">
        <f ca="1" t="shared" si="332"/>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0"/>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1"/>
        <v>0</v>
      </c>
      <c r="AB2343" s="162" t="str">
        <f ca="1" t="shared" si="332"/>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0"/>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1"/>
        <v>0</v>
      </c>
      <c r="AB2344" s="162" t="str">
        <f ca="1" t="shared" si="332"/>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0"/>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1"/>
        <v>0</v>
      </c>
      <c r="AB2345" s="162" t="str">
        <f ca="1" t="shared" si="332"/>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0"/>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1"/>
        <v>0</v>
      </c>
      <c r="AB2346" s="162" t="str">
        <f ca="1" t="shared" si="332"/>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0"/>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1"/>
        <v>0</v>
      </c>
      <c r="AB2347" s="162" t="str">
        <f ca="1" t="shared" si="332"/>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0"/>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1"/>
        <v>0</v>
      </c>
      <c r="AB2348" s="162" t="str">
        <f ca="1" t="shared" si="332"/>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0"/>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1"/>
        <v>0</v>
      </c>
      <c r="AB2349" s="162" t="str">
        <f ca="1" t="shared" si="332"/>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0"/>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1"/>
        <v>0</v>
      </c>
      <c r="AB2350" s="162" t="str">
        <f ca="1" t="shared" si="332"/>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0"/>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1"/>
        <v>0</v>
      </c>
      <c r="AB2351" s="162" t="str">
        <f ca="1" t="shared" si="332"/>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0"/>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1"/>
        <v>0</v>
      </c>
      <c r="AB2352" s="162" t="str">
        <f ca="1" t="shared" si="332"/>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ref="S2353:S2383" si="333">IF(B2353="","",IF(ISERROR(MATCH($E2353,CL,0)),"Unknown",INDIRECT("'C'!$A$"&amp;MATCH($E2353,CL,0)+1)))</f>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ref="X2353:X2383" si="334">IF(AND(C2353="Smelter not listed",OR(LEN(D2353)=0,LEN(E2353)=0)),1,0)</f>
        <v>0</v>
      </c>
      <c r="AB2353" s="162" t="str">
        <f ca="1" t="shared" ref="AB2353:AB2383" si="335">B2353&amp;C2353</f>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3"/>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4"/>
        <v>0</v>
      </c>
      <c r="AB2354" s="162" t="str">
        <f ca="1" t="shared" si="335"/>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3"/>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4"/>
        <v>0</v>
      </c>
      <c r="AB2355" s="162" t="str">
        <f ca="1" t="shared" si="335"/>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3"/>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4"/>
        <v>0</v>
      </c>
      <c r="AB2356" s="162" t="str">
        <f ca="1" t="shared" si="335"/>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3"/>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4"/>
        <v>0</v>
      </c>
      <c r="AB2357" s="162" t="str">
        <f ca="1" t="shared" si="335"/>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3"/>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4"/>
        <v>0</v>
      </c>
      <c r="AB2358" s="162" t="str">
        <f ca="1" t="shared" si="335"/>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3"/>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4"/>
        <v>0</v>
      </c>
      <c r="AB2359" s="162" t="str">
        <f ca="1" t="shared" si="335"/>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3"/>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4"/>
        <v>0</v>
      </c>
      <c r="AB2360" s="162" t="str">
        <f ca="1" t="shared" si="335"/>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3"/>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4"/>
        <v>0</v>
      </c>
      <c r="AB2361" s="162" t="str">
        <f ca="1" t="shared" si="335"/>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3"/>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4"/>
        <v>0</v>
      </c>
      <c r="AB2362" s="162" t="str">
        <f ca="1" t="shared" si="335"/>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3"/>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4"/>
        <v>0</v>
      </c>
      <c r="AB2363" s="162" t="str">
        <f ca="1" t="shared" si="335"/>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3"/>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4"/>
        <v>0</v>
      </c>
      <c r="AB2364" s="162" t="str">
        <f ca="1" t="shared" si="335"/>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3"/>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4"/>
        <v>0</v>
      </c>
      <c r="AB2365" s="162" t="str">
        <f ca="1" t="shared" si="335"/>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3"/>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4"/>
        <v>0</v>
      </c>
      <c r="AB2366" s="162" t="str">
        <f ca="1" t="shared" si="335"/>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3"/>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4"/>
        <v>0</v>
      </c>
      <c r="AB2367" s="162" t="str">
        <f ca="1" t="shared" si="335"/>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3"/>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4"/>
        <v>0</v>
      </c>
      <c r="AB2368" s="162" t="str">
        <f ca="1" t="shared" si="335"/>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3"/>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4"/>
        <v>0</v>
      </c>
      <c r="AB2369" s="162" t="str">
        <f ca="1" t="shared" si="335"/>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3"/>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4"/>
        <v>0</v>
      </c>
      <c r="AB2370" s="162" t="str">
        <f ca="1" t="shared" si="335"/>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3"/>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4"/>
        <v>0</v>
      </c>
      <c r="AB2371" s="162" t="str">
        <f ca="1" t="shared" si="335"/>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3"/>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4"/>
        <v>0</v>
      </c>
      <c r="AB2372" s="162" t="str">
        <f ca="1" t="shared" si="335"/>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3"/>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4"/>
        <v>0</v>
      </c>
      <c r="AB2373" s="162" t="str">
        <f ca="1" t="shared" si="335"/>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3"/>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4"/>
        <v>0</v>
      </c>
      <c r="AB2374" s="162" t="str">
        <f ca="1" t="shared" si="335"/>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3"/>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4"/>
        <v>0</v>
      </c>
      <c r="AB2375" s="162" t="str">
        <f ca="1" t="shared" si="335"/>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3"/>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4"/>
        <v>0</v>
      </c>
      <c r="AB2376" s="162" t="str">
        <f ca="1" t="shared" si="335"/>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3"/>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4"/>
        <v>0</v>
      </c>
      <c r="AB2377" s="162" t="str">
        <f ca="1" t="shared" si="335"/>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3"/>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4"/>
        <v>0</v>
      </c>
      <c r="AB2378" s="162" t="str">
        <f ca="1" t="shared" si="335"/>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3"/>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4"/>
        <v>0</v>
      </c>
      <c r="AB2379" s="162" t="str">
        <f ca="1" t="shared" si="335"/>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3"/>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4"/>
        <v>0</v>
      </c>
      <c r="AB2380" s="162" t="str">
        <f ca="1" t="shared" si="335"/>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3"/>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4"/>
        <v>0</v>
      </c>
      <c r="AB2381" s="162" t="str">
        <f ca="1" t="shared" si="335"/>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3"/>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4"/>
        <v>0</v>
      </c>
      <c r="AB2382" s="162" t="str">
        <f ca="1" t="shared" si="335"/>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3"/>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4"/>
        <v>0</v>
      </c>
      <c r="AB2383" s="162" t="str">
        <f ca="1" t="shared" si="335"/>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ref="S2384" si="336">IF(B2384="","",IF(ISERROR(MATCH($E2384,CL,0)),"Unknown",INDIRECT("'C'!$A$"&amp;MATCH($E2384,CL,0)+1)))</f>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ref="X2384" si="337">IF(AND(C2384="Smelter not listed",OR(LEN(D2384)=0,LEN(E2384)=0)),1,0)</f>
        <v>0</v>
      </c>
      <c r="AB2384" s="162" t="str">
        <f ca="1" t="shared" ref="AB2384" si="338">B2384&amp;C2384</f>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ref="S2385:S2416" si="339">IF(B2385="","",IF(ISERROR(MATCH($E2385,CL,0)),"Unknown",INDIRECT("'C'!$A$"&amp;MATCH($E2385,CL,0)+1)))</f>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ref="X2385:X2416" si="340">IF(AND(C2385="Smelter not listed",OR(LEN(D2385)=0,LEN(E2385)=0)),1,0)</f>
        <v>0</v>
      </c>
      <c r="AB2385" s="162" t="str">
        <f ca="1" t="shared" ref="AB2385:AB2416" si="341">B2385&amp;C2385</f>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9"/>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40"/>
        <v>0</v>
      </c>
      <c r="AB2386" s="162" t="str">
        <f ca="1" t="shared" si="341"/>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9"/>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40"/>
        <v>0</v>
      </c>
      <c r="AB2387" s="162" t="str">
        <f ca="1" t="shared" si="341"/>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9"/>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40"/>
        <v>0</v>
      </c>
      <c r="AB2388" s="162" t="str">
        <f ca="1" t="shared" si="341"/>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9"/>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40"/>
        <v>0</v>
      </c>
      <c r="AB2389" s="162" t="str">
        <f ca="1" t="shared" si="341"/>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9"/>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40"/>
        <v>0</v>
      </c>
      <c r="AB2390" s="162" t="str">
        <f ca="1" t="shared" si="341"/>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9"/>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40"/>
        <v>0</v>
      </c>
      <c r="AB2391" s="162" t="str">
        <f ca="1" t="shared" si="341"/>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9"/>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40"/>
        <v>0</v>
      </c>
      <c r="AB2392" s="162" t="str">
        <f ca="1" t="shared" si="341"/>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9"/>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0"/>
        <v>0</v>
      </c>
      <c r="AB2393" s="162" t="str">
        <f ca="1" t="shared" si="341"/>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9"/>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0"/>
        <v>0</v>
      </c>
      <c r="AB2394" s="162" t="str">
        <f ca="1" t="shared" si="341"/>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9"/>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0"/>
        <v>0</v>
      </c>
      <c r="AB2395" s="162" t="str">
        <f ca="1" t="shared" si="341"/>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9"/>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0"/>
        <v>0</v>
      </c>
      <c r="AB2396" s="162" t="str">
        <f ca="1" t="shared" si="341"/>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9"/>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0"/>
        <v>0</v>
      </c>
      <c r="AB2397" s="162" t="str">
        <f ca="1" t="shared" si="341"/>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9"/>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0"/>
        <v>0</v>
      </c>
      <c r="AB2398" s="162" t="str">
        <f ca="1" t="shared" si="341"/>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9"/>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0"/>
        <v>0</v>
      </c>
      <c r="AB2399" s="162" t="str">
        <f ca="1" t="shared" si="341"/>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9"/>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0"/>
        <v>0</v>
      </c>
      <c r="AB2400" s="162" t="str">
        <f ca="1" t="shared" si="341"/>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9"/>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0"/>
        <v>0</v>
      </c>
      <c r="AB2401" s="162" t="str">
        <f ca="1" t="shared" si="341"/>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9"/>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0"/>
        <v>0</v>
      </c>
      <c r="AB2402" s="162" t="str">
        <f ca="1" t="shared" si="341"/>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9"/>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0"/>
        <v>0</v>
      </c>
      <c r="AB2403" s="162" t="str">
        <f ca="1" t="shared" si="341"/>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9"/>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0"/>
        <v>0</v>
      </c>
      <c r="AB2404" s="162" t="str">
        <f ca="1" t="shared" si="341"/>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9"/>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0"/>
        <v>0</v>
      </c>
      <c r="AB2405" s="162" t="str">
        <f ca="1" t="shared" si="341"/>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9"/>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0"/>
        <v>0</v>
      </c>
      <c r="AB2406" s="162" t="str">
        <f ca="1" t="shared" si="341"/>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9"/>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0"/>
        <v>0</v>
      </c>
      <c r="AB2407" s="162" t="str">
        <f ca="1" t="shared" si="341"/>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9"/>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0"/>
        <v>0</v>
      </c>
      <c r="AB2408" s="162" t="str">
        <f ca="1" t="shared" si="341"/>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9"/>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0"/>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9"/>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0"/>
        <v>0</v>
      </c>
      <c r="AB2410" s="162" t="str">
        <f ca="1" t="shared" si="341"/>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9"/>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0"/>
        <v>0</v>
      </c>
      <c r="AB2411" s="162" t="str">
        <f ca="1" t="shared" si="341"/>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9"/>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0"/>
        <v>0</v>
      </c>
      <c r="AB2412" s="162" t="str">
        <f ca="1" t="shared" si="341"/>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9"/>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0"/>
        <v>0</v>
      </c>
      <c r="AB2413" s="162" t="str">
        <f ca="1" t="shared" si="341"/>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9"/>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0"/>
        <v>0</v>
      </c>
      <c r="AB2414" s="162" t="str">
        <f ca="1" t="shared" si="341"/>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9"/>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0"/>
        <v>0</v>
      </c>
      <c r="AB2415" s="162" t="str">
        <f ca="1" t="shared" si="341"/>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9"/>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0"/>
        <v>0</v>
      </c>
      <c r="AB2416" s="162" t="str">
        <f ca="1" t="shared" si="341"/>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ref="S2417:S2447" si="342">IF(B2417="","",IF(ISERROR(MATCH($E2417,CL,0)),"Unknown",INDIRECT("'C'!$A$"&amp;MATCH($E2417,CL,0)+1)))</f>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ref="X2417:X2449" si="343">IF(AND(C2417="Smelter not listed",OR(LEN(D2417)=0,LEN(E2417)=0)),1,0)</f>
        <v>0</v>
      </c>
      <c r="AB2417" s="162" t="str">
        <f ca="1" t="shared" ref="AB2417:AB2447" si="344">B2417&amp;C2417</f>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2"/>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3"/>
        <v>0</v>
      </c>
      <c r="AB2418" s="162" t="str">
        <f ca="1" t="shared" si="344"/>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2"/>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3"/>
        <v>0</v>
      </c>
      <c r="AB2419" s="162" t="str">
        <f ca="1" t="shared" si="344"/>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2"/>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3"/>
        <v>0</v>
      </c>
      <c r="AB2420" s="162" t="str">
        <f ca="1" t="shared" si="344"/>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2"/>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3"/>
        <v>0</v>
      </c>
      <c r="AB2421" s="162" t="str">
        <f ca="1" t="shared" si="344"/>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2"/>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3"/>
        <v>0</v>
      </c>
      <c r="AB2422" s="162" t="str">
        <f ca="1" t="shared" si="344"/>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2"/>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3"/>
        <v>0</v>
      </c>
      <c r="AB2423" s="162" t="str">
        <f ca="1" t="shared" si="344"/>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42"/>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43"/>
        <v>0</v>
      </c>
      <c r="AB2424" s="162" t="str">
        <f ca="1" t="shared" si="344"/>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2"/>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3"/>
        <v>0</v>
      </c>
      <c r="AB2425" s="162" t="str">
        <f ca="1" t="shared" si="344"/>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2"/>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3"/>
        <v>0</v>
      </c>
      <c r="AB2426" s="162" t="str">
        <f ca="1" t="shared" si="344"/>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2"/>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3"/>
        <v>0</v>
      </c>
      <c r="AB2427" s="162" t="str">
        <f ca="1" t="shared" si="344"/>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2"/>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3"/>
        <v>0</v>
      </c>
      <c r="AB2428" s="162" t="str">
        <f ca="1" t="shared" si="344"/>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2"/>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3"/>
        <v>0</v>
      </c>
      <c r="AB2429" s="162" t="str">
        <f ca="1" t="shared" si="344"/>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2"/>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3"/>
        <v>0</v>
      </c>
      <c r="AB2430" s="162" t="str">
        <f ca="1" t="shared" si="344"/>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2"/>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3"/>
        <v>0</v>
      </c>
      <c r="AB2431" s="162" t="str">
        <f ca="1" t="shared" si="344"/>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2"/>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3"/>
        <v>0</v>
      </c>
      <c r="AB2432" s="162" t="str">
        <f ca="1" t="shared" si="344"/>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2"/>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3"/>
        <v>0</v>
      </c>
      <c r="AB2433" s="162" t="str">
        <f ca="1" t="shared" si="344"/>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2"/>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3"/>
        <v>0</v>
      </c>
      <c r="AB2434" s="162" t="str">
        <f ca="1" t="shared" si="344"/>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2"/>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3"/>
        <v>0</v>
      </c>
      <c r="AB2435" s="162" t="str">
        <f ca="1" t="shared" si="344"/>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2"/>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3"/>
        <v>0</v>
      </c>
      <c r="AB2436" s="162" t="str">
        <f ca="1" t="shared" si="344"/>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2"/>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3"/>
        <v>0</v>
      </c>
      <c r="AB2437" s="162" t="str">
        <f ca="1" t="shared" si="344"/>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2"/>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3"/>
        <v>0</v>
      </c>
      <c r="AB2438" s="162" t="str">
        <f ca="1" t="shared" si="344"/>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2"/>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3"/>
        <v>0</v>
      </c>
      <c r="AB2439" s="162" t="str">
        <f ca="1" t="shared" si="344"/>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2"/>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3"/>
        <v>0</v>
      </c>
      <c r="AB2440" s="162" t="str">
        <f ca="1" t="shared" si="344"/>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2"/>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3"/>
        <v>0</v>
      </c>
      <c r="AB2441" s="162" t="str">
        <f ca="1" t="shared" si="344"/>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2"/>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3"/>
        <v>0</v>
      </c>
      <c r="AB2442" s="162" t="str">
        <f ca="1" t="shared" si="344"/>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2"/>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3"/>
        <v>0</v>
      </c>
      <c r="AB2443" s="162" t="str">
        <f ca="1" t="shared" si="344"/>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2"/>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3"/>
        <v>0</v>
      </c>
      <c r="AB2444" s="162" t="str">
        <f ca="1" t="shared" si="344"/>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2"/>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3"/>
        <v>0</v>
      </c>
      <c r="AB2445" s="162" t="str">
        <f ca="1" t="shared" si="344"/>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2"/>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3"/>
        <v>0</v>
      </c>
      <c r="AB2446" s="162" t="str">
        <f ca="1" t="shared" si="344"/>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2"/>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3"/>
        <v>0</v>
      </c>
      <c r="AB2447" s="162" t="str">
        <f ca="1" t="shared" si="344"/>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ref="S2448" si="345">IF(B2448="","",IF(ISERROR(MATCH($E2448,CL,0)),"Unknown",INDIRECT("'C'!$A$"&amp;MATCH($E2448,CL,0)+1)))</f>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3"/>
        <v>0</v>
      </c>
      <c r="AB2448" s="162" t="str">
        <f ca="1" t="shared" ref="AB2448:AB2449" si="346">B2448&amp;C2448</f>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IF(B2449="","",IF(ISERROR(MATCH($E2449,CL,0)),"Unknown",INDIRECT("'C'!$A$"&amp;MATCH($E2449,CL,0)+1)))</f>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3"/>
        <v>0</v>
      </c>
      <c r="AB2449" s="162" t="str">
        <f ca="1" t="shared" si="346"/>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ref="S2450" si="347">IF(B2450="","",IF(ISERROR(MATCH($E2450,CL,0)),"Unknown",INDIRECT("'C'!$A$"&amp;MATCH($E2450,CL,0)+1)))</f>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AB2450" s="162"/>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ref="S2451:S2461" si="348">IF(B2451="","",IF(ISERROR(MATCH($E2451,CL,0)),"Unknown",INDIRECT("'C'!$A$"&amp;MATCH($E2451,CL,0)+1)))</f>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AB2451" s="162"/>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8"/>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AB2452" s="162"/>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8"/>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AB2453" s="162"/>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8"/>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AB2454" s="162"/>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8"/>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AB2455" s="162"/>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8"/>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AB2456" s="162"/>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8"/>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si="348"/>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8"/>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8"/>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64" t="str">
        <f ca="1">IF(LEN(A2461)=0,"",INDEX('Smelter Look-up'!$A:$A,MATCH($A2461,'Smelter Look-up'!$E:$E,0)))</f>
        <v/>
      </c>
      <c r="C2461" s="152" t="str">
        <f ca="1">IF(LEN(A2461)=0,"",INDEX('Smelter Look-up'!$C:$C,MATCH($A2461,'Smelter Look-up'!$E:$E,0)))</f>
        <v/>
      </c>
      <c r="D2461" s="165"/>
      <c r="E2461" s="164" t="str">
        <f ca="1">IF(ISERROR($V2461),"",OFFSET('Smelter Look-up'!$D$4,$V2461-4,0)&amp;"")</f>
        <v/>
      </c>
      <c r="F2461" s="164" t="str">
        <f ca="1">IF(ISERROR($V2461),"",OFFSET('Smelter Look-up'!$E$4,$V2461-4,0))</f>
        <v/>
      </c>
      <c r="G2461" s="164" t="str">
        <f ca="1">IF(C2461=$X$4,IF(ISERROR($V2461),"Enter smelter details","RMI"),IF(ISERROR($V2461),"",OFFSET('Smelter Look-up'!$F$4,$V2461-4,0)))</f>
        <v/>
      </c>
      <c r="H2461" s="166" t="str">
        <f ca="1">IF(ISERROR($V2461),"",OFFSET('Smelter Look-up'!$G$4,$V2461-4,0))</f>
        <v/>
      </c>
      <c r="I2461" s="167" t="str">
        <f ca="1">IF(ISERROR($V2461),"",OFFSET('Smelter Look-up'!$H$4,$V2461-4,0))</f>
        <v/>
      </c>
      <c r="J2461" s="168" t="str">
        <f ca="1">IF(ISERROR($V2461),"",OFFSET('Smelter Look-up'!$I$4,$V2461-4,0))</f>
        <v/>
      </c>
      <c r="K2461" s="156"/>
      <c r="L2461" s="156"/>
      <c r="M2461" s="156"/>
      <c r="N2461" s="156"/>
      <c r="O2461" s="156"/>
      <c r="P2461" s="169"/>
      <c r="Q2461" s="170"/>
      <c r="R2461" s="171" t="str">
        <f ca="1">IF(ISERROR($V2461),"",OFFSET('Smelter Look-up'!$C$4,$V2461-4,0)&amp;"")</f>
        <v/>
      </c>
      <c r="S2461" s="172" t="str">
        <f ca="1" t="shared" si="348"/>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IF(AND(C2461="Smelter not listed",OR(LEN(D2461)=0,LEN(E2461)=0)),1,0)</f>
        <v>0</v>
      </c>
      <c r="AB2461" s="162" t="str">
        <f ca="1">B2461&amp;C2461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7">
    <cfRule type="expression" dxfId="6" priority="1" stopIfTrue="1">
      <formula>IF(AND(LEN($A7)&gt;0,$A7&lt;&gt;$F7),TRUE,FALSE)</formula>
    </cfRule>
  </conditionalFormatting>
  <conditionalFormatting sqref="B5:B2461">
    <cfRule type="expression" dxfId="0" priority="156" stopIfTrue="1">
      <formula>IF(B5="",TRUE)</formula>
    </cfRule>
    <cfRule type="expression" dxfId="6" priority="157" stopIfTrue="1">
      <formula>IF(AND(COUNTIF(MetalSmelter,B5&amp;C5)=0,LEN(C5)&gt;0),TRUE,FALSE)</formula>
    </cfRule>
    <cfRule type="expression" dxfId="6" priority="161" stopIfTrue="1">
      <formula>IF(OR(AND(B5="Tantalum",Declaration!$P$38=""),AND(B5="Tin",Declaration!$P$39=""),AND(B5="Gold",Declaration!$P$40=""),AND(B5="Tungsten",Declaration!$P$41="")),TRUE,FALSE)</formula>
    </cfRule>
  </conditionalFormatting>
  <conditionalFormatting sqref="C5:C2461">
    <cfRule type="expression" dxfId="6" priority="159" stopIfTrue="1">
      <formula>IF(OR(AND(B5="Tantalum",Declaration!$P$38=""),AND(B5="Tin",Declaration!$P$39=""),AND(B5="Gold",Declaration!$P$40=""),AND(B5="Tungsten",Declaration!$P$41="")),TRUE,FALSE)</formula>
    </cfRule>
    <cfRule type="expression" dxfId="0" priority="164" stopIfTrue="1">
      <formula>IF(AND(B5&lt;&gt;"",C5=""),TRUE)</formula>
    </cfRule>
  </conditionalFormatting>
  <conditionalFormatting sqref="D5:D2461">
    <cfRule type="expression" dxfId="7" priority="168" stopIfTrue="1">
      <formula>IF(AND(LEN($C5)&gt;0,AND($C5&lt;&gt;"Smelter Not Listed",ISBLANK($D5))),1,0)</formula>
    </cfRule>
    <cfRule type="expression" dxfId="0" priority="175" stopIfTrue="1">
      <formula>IF(AND(D5="",$C5=$X$4),TRUE)</formula>
    </cfRule>
    <cfRule type="expression" dxfId="8" priority="176" stopIfTrue="1">
      <formula>IF(FIND("!",D5),TRUE)</formula>
    </cfRule>
  </conditionalFormatting>
  <conditionalFormatting sqref="F5:F2461">
    <cfRule type="expression" dxfId="6" priority="160" stopIfTrue="1">
      <formula>IF(AND(LEN($A5)&gt;0,$A5&lt;&gt;$F5),TRUE,FALSE)</formula>
    </cfRule>
  </conditionalFormatting>
  <conditionalFormatting sqref="G5:G2461">
    <cfRule type="expression" dxfId="9" priority="177" stopIfTrue="1">
      <formula>IF(FIND("Enter smelter details",G5),TRUE)</formula>
    </cfRule>
  </conditionalFormatting>
  <conditionalFormatting sqref="E5:E6 R5:R6 E7:E2461 R7:R2461">
    <cfRule type="expression" dxfId="0" priority="162" stopIfTrue="1">
      <formula>IF(AND(E5="",$C5=$X$4),TRUE)</formula>
    </cfRule>
    <cfRule type="expression" dxfId="8" priority="163" stopIfTrue="1">
      <formula>IF(FIND("!",E5),TRUE)</formula>
    </cfRule>
  </conditionalFormatting>
  <dataValidations count="5">
    <dataValidation type="list" allowBlank="1" showInputMessage="1" showErrorMessage="1" sqref="B5:B2461">
      <formula1>Metal</formula1>
    </dataValidation>
    <dataValidation type="list" showInputMessage="1" showErrorMessage="1" sqref="C5:C2461">
      <formula1>SN</formula1>
    </dataValidation>
    <dataValidation type="list" allowBlank="1" showInputMessage="1" showErrorMessage="1" sqref="E5:E2461">
      <formula1>CL</formula1>
    </dataValidation>
    <dataValidation type="list" allowBlank="1" showInputMessage="1" showErrorMessage="1" sqref="P5:P2461">
      <formula1>$AH$2:$AH$4</formula1>
    </dataValidation>
    <dataValidation allowBlank="1" showErrorMessage="1" sqref="F5:G246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158</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159</v>
      </c>
      <c r="G3" s="88" t="s">
        <v>160</v>
      </c>
      <c r="H3" s="88" t="s">
        <v>161</v>
      </c>
      <c r="I3" s="88" t="s">
        <v>162</v>
      </c>
      <c r="J3" s="88" t="s">
        <v>163</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Capacitor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46219</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No</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f>IF($B$16="Yes",Declaration!D34,0)</f>
        <v>0</v>
      </c>
      <c r="C21" s="99" t="str">
        <f ca="1">IF(H21=1,J21,I21)</f>
        <v>Complete</v>
      </c>
      <c r="D21" s="111" t="str">
        <f>IF(H21=1,"Click here to answer question 2 for Gold","")</f>
        <v/>
      </c>
      <c r="E21" s="89" t="s">
        <v>109</v>
      </c>
      <c r="F21" s="106">
        <f>IF(B$16="No",0,1)</f>
        <v>0</v>
      </c>
      <c r="G21" s="102">
        <f>IF(B21=0,1,0)</f>
        <v>1</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f>IF(AND($B$16="Yes",$B$21="Yes"),Declaration!D40,0)</f>
        <v>0</v>
      </c>
      <c r="C26" s="99" t="str">
        <f ca="1">IF(H26=1,J26,I26)</f>
        <v>Complete</v>
      </c>
      <c r="D26" s="111" t="str">
        <f>IF(H26=1,"Click here to answer question 3 for Gold","")</f>
        <v/>
      </c>
      <c r="E26" s="89" t="s">
        <v>109</v>
      </c>
      <c r="F26" s="106">
        <f>IF(OR(B16="No",B21="No"),0,1)</f>
        <v>0</v>
      </c>
      <c r="G26" s="102">
        <f t="shared" si="6"/>
        <v>1</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f>IF(AND($B$16="Yes",$B$21="Yes"),Declaration!D46,0)</f>
        <v>0</v>
      </c>
      <c r="C31" s="99" t="str">
        <f ca="1">IF(H31=1,J31,I31)</f>
        <v>Complete</v>
      </c>
      <c r="D31" s="112" t="str">
        <f>IF(H31=1,"Click here to answer question 4 for Gold","")</f>
        <v/>
      </c>
      <c r="E31" s="89"/>
      <c r="F31" s="106">
        <f>F26</f>
        <v>0</v>
      </c>
      <c r="G31" s="102">
        <f t="shared" si="8"/>
        <v>1</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f>IF(AND($B$16="Yes",$B$21="Yes"),Declaration!D52,0)</f>
        <v>0</v>
      </c>
      <c r="C36" s="99" t="str">
        <f ca="1">IF(H36=1,J36,I36)</f>
        <v>Complete</v>
      </c>
      <c r="D36" s="112" t="str">
        <f>IF(H36=1,"Click here to answer question 5 for Gold","")</f>
        <v/>
      </c>
      <c r="E36" s="89" t="s">
        <v>109</v>
      </c>
      <c r="F36" s="106">
        <f>F26</f>
        <v>0</v>
      </c>
      <c r="G36" s="102">
        <f>IF(B36=0,1,0)</f>
        <v>1</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f>IF(AND($B$16="Yes",$B$21="Yes"),Declaration!D58,0)</f>
        <v>0</v>
      </c>
      <c r="C41" s="99" t="str">
        <f ca="1">IF(H41=1,J41,I41)</f>
        <v>Complete</v>
      </c>
      <c r="D41" s="114" t="str">
        <f>IF(H41=1,"Click here to answer question 6 for Gold","")</f>
        <v/>
      </c>
      <c r="E41" s="89" t="s">
        <v>106</v>
      </c>
      <c r="F41" s="106">
        <f>F26</f>
        <v>0</v>
      </c>
      <c r="G41" s="102">
        <f>IF(B41=0,1,0)</f>
        <v>1</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f>IF(AND($B$16="Yes",$B$21="Yes"),Declaration!D64,0)</f>
        <v>0</v>
      </c>
      <c r="C46" s="99" t="str">
        <f ca="1">IF(H46=1,J46,I46)</f>
        <v>Complete</v>
      </c>
      <c r="D46" s="112" t="str">
        <f>IF(H46=1,"Click here to answer question 7 for Gold","")</f>
        <v/>
      </c>
      <c r="E46" s="89" t="s">
        <v>105</v>
      </c>
      <c r="F46" s="106">
        <f>F26</f>
        <v>0</v>
      </c>
      <c r="G46" s="102">
        <f>IF(B46=0,1,0)</f>
        <v>1</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f>IF(AND($B$16="Yes",$B$21="Yes"),Declaration!D70,0)</f>
        <v>0</v>
      </c>
      <c r="C51" s="99" t="str">
        <f ca="1">IF(H51=1,J51,I51)</f>
        <v>Complete</v>
      </c>
      <c r="D51" s="114" t="str">
        <f>IF(H51=1,"Click here to answer question 8 for Gold","")</f>
        <v/>
      </c>
      <c r="E51" s="89" t="s">
        <v>109</v>
      </c>
      <c r="F51" s="106">
        <f>F26</f>
        <v>0</v>
      </c>
      <c r="G51" s="102">
        <f>IF(B51=0,1,0)</f>
        <v>1</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164</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165</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166</v>
      </c>
      <c r="B65" s="99"/>
      <c r="C65" s="99" t="str">
        <f ca="1" t="shared" si="13"/>
        <v>Complete</v>
      </c>
      <c r="D65" s="100" t="str">
        <f ca="1">IF(H65=0,"","Click here to provide smelter information")</f>
        <v/>
      </c>
      <c r="E65" s="89" t="s">
        <v>109</v>
      </c>
      <c r="F65" s="106">
        <f>F24</f>
        <v>0</v>
      </c>
      <c r="G65" s="102">
        <f ca="1">IF(AND(COUNTIF(SmelterIdetifiedForMetal,"Tantalum")&gt;0,COUNTIF('Smelter List'!AB$5:AB$2461,"Tantalum?*")&gt;0),0,1)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167</v>
      </c>
      <c r="B66" s="99"/>
      <c r="C66" s="99" t="str">
        <f ca="1" t="shared" si="13"/>
        <v>Complete</v>
      </c>
      <c r="D66" s="100" t="str">
        <f ca="1">IF(H66=0,"","Click here to provide smelter information")</f>
        <v/>
      </c>
      <c r="E66" s="89" t="s">
        <v>109</v>
      </c>
      <c r="F66" s="106">
        <f>F25</f>
        <v>1</v>
      </c>
      <c r="G66" s="102">
        <f ca="1">IF(AND(COUNTIF(SmelterIdetifiedForMetal,"Tin")&gt;0,COUNTIF('Smelter List'!AB$5:AB$2461,"Tin?*")&gt;0),0,1)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168</v>
      </c>
      <c r="B67" s="99"/>
      <c r="C67" s="99" t="str">
        <f ca="1" t="shared" si="13"/>
        <v>Complete</v>
      </c>
      <c r="D67" s="100" t="str">
        <f ca="1">IF(H67=0,"","Click here to provide smelter information")</f>
        <v/>
      </c>
      <c r="E67" s="89" t="s">
        <v>109</v>
      </c>
      <c r="F67" s="106">
        <f>F26</f>
        <v>0</v>
      </c>
      <c r="G67" s="102">
        <f ca="1">IF(AND(COUNTIF(SmelterIdetifiedForMetal,"Gold")&gt;0,COUNTIF('Smelter List'!AB$5:AB$2461,"Gold?*")&gt;0),0,1)</f>
        <v>1</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169</v>
      </c>
      <c r="B68" s="99"/>
      <c r="C68" s="99" t="str">
        <f ca="1" t="shared" si="13"/>
        <v>Complete</v>
      </c>
      <c r="D68" s="100" t="str">
        <f ca="1">IF(H68=0,"","Click here to provide smelter information")</f>
        <v/>
      </c>
      <c r="E68" s="89" t="s">
        <v>109</v>
      </c>
      <c r="F68" s="106">
        <f>F27</f>
        <v>0</v>
      </c>
      <c r="G68" s="102">
        <f ca="1">IF(AND(COUNTIF(SmelterIdetifiedForMetal,"Tungsten")&gt;0,COUNTIF('Smelter List'!AB$5:AB$2461,"Tungsten?*")&gt;0),0,1)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170</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171</v>
      </c>
      <c r="K69" s="116"/>
      <c r="L69" s="88" t="s">
        <v>172</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158</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173</v>
      </c>
      <c r="K4" s="58" t="s">
        <v>173</v>
      </c>
    </row>
    <row r="5" customHeight="1" spans="1:11">
      <c r="A5" s="59" t="s">
        <v>148</v>
      </c>
      <c r="B5" s="59" t="s">
        <v>174</v>
      </c>
      <c r="C5" s="59" t="s">
        <v>174</v>
      </c>
      <c r="D5" s="59" t="s">
        <v>175</v>
      </c>
      <c r="E5" s="59" t="s">
        <v>176</v>
      </c>
      <c r="F5" s="59" t="s">
        <v>177</v>
      </c>
      <c r="G5" s="59"/>
      <c r="H5" s="60" t="s">
        <v>178</v>
      </c>
      <c r="I5" s="55" t="s">
        <v>179</v>
      </c>
      <c r="J5" s="61" t="str">
        <f t="shared" ref="J5" si="0">A5&amp;B5</f>
        <v>Gold8853 S.p.A.</v>
      </c>
      <c r="K5" s="61" t="str">
        <f t="shared" ref="K5" si="1">A5&amp;B5</f>
        <v>Gold8853 S.p.A.</v>
      </c>
    </row>
    <row r="6" customHeight="1" spans="1:11">
      <c r="A6" s="59" t="s">
        <v>148</v>
      </c>
      <c r="B6" s="59" t="s">
        <v>180</v>
      </c>
      <c r="C6" s="59" t="s">
        <v>180</v>
      </c>
      <c r="D6" s="59" t="s">
        <v>181</v>
      </c>
      <c r="E6" s="59" t="s">
        <v>182</v>
      </c>
      <c r="F6" s="59" t="s">
        <v>177</v>
      </c>
      <c r="G6" s="59"/>
      <c r="H6" s="60" t="s">
        <v>183</v>
      </c>
      <c r="I6" s="55" t="s">
        <v>184</v>
      </c>
      <c r="J6" s="61" t="str">
        <f t="shared" ref="J6" si="2">A6&amp;B6</f>
        <v>GoldABC Refinery Pty Ltd.</v>
      </c>
      <c r="K6" s="61" t="str">
        <f t="shared" ref="K6" si="3">A6&amp;B6</f>
        <v>GoldABC Refinery Pty Ltd.</v>
      </c>
    </row>
    <row r="7" customHeight="1" spans="1:11">
      <c r="A7" s="59" t="s">
        <v>148</v>
      </c>
      <c r="B7" s="59" t="s">
        <v>185</v>
      </c>
      <c r="C7" s="59" t="s">
        <v>185</v>
      </c>
      <c r="D7" s="59" t="s">
        <v>186</v>
      </c>
      <c r="E7" s="59" t="s">
        <v>187</v>
      </c>
      <c r="F7" s="59" t="s">
        <v>177</v>
      </c>
      <c r="G7" s="59"/>
      <c r="H7" s="60" t="s">
        <v>188</v>
      </c>
      <c r="I7" s="55" t="s">
        <v>189</v>
      </c>
      <c r="J7" s="61" t="str">
        <f t="shared" ref="J7:J67" si="4">A7&amp;B7</f>
        <v>GoldAbington Reldan Metals, LLC</v>
      </c>
      <c r="K7" s="61" t="str">
        <f t="shared" ref="K7:K67" si="5">A7&amp;B7</f>
        <v>GoldAbington Reldan Metals, LLC</v>
      </c>
    </row>
    <row r="8" customHeight="1" spans="1:11">
      <c r="A8" s="59" t="s">
        <v>148</v>
      </c>
      <c r="B8" s="59" t="s">
        <v>190</v>
      </c>
      <c r="C8" s="59" t="s">
        <v>190</v>
      </c>
      <c r="D8" s="59" t="s">
        <v>186</v>
      </c>
      <c r="E8" s="59" t="s">
        <v>191</v>
      </c>
      <c r="F8" s="59" t="s">
        <v>177</v>
      </c>
      <c r="G8" s="59"/>
      <c r="H8" s="60" t="s">
        <v>192</v>
      </c>
      <c r="I8" s="55" t="s">
        <v>193</v>
      </c>
      <c r="J8" s="61" t="str">
        <f t="shared" si="4"/>
        <v>GoldAdvanced Chemical Company</v>
      </c>
      <c r="K8" s="61" t="str">
        <f t="shared" si="5"/>
        <v>GoldAdvanced Chemical Company</v>
      </c>
    </row>
    <row r="9" customHeight="1" spans="1:11">
      <c r="A9" s="59" t="s">
        <v>148</v>
      </c>
      <c r="B9" s="59" t="s">
        <v>194</v>
      </c>
      <c r="C9" s="59" t="s">
        <v>194</v>
      </c>
      <c r="D9" s="59" t="s">
        <v>195</v>
      </c>
      <c r="E9" s="59" t="s">
        <v>196</v>
      </c>
      <c r="F9" s="59" t="s">
        <v>177</v>
      </c>
      <c r="G9" s="59"/>
      <c r="H9" s="60" t="s">
        <v>197</v>
      </c>
      <c r="I9" s="55" t="s">
        <v>198</v>
      </c>
      <c r="J9" s="61" t="str">
        <f t="shared" si="4"/>
        <v>GoldAfrican Gold Refinery</v>
      </c>
      <c r="K9" s="61" t="str">
        <f t="shared" si="5"/>
        <v>GoldAfrican Gold Refinery</v>
      </c>
    </row>
    <row r="10" customHeight="1" spans="1:11">
      <c r="A10" s="59" t="s">
        <v>148</v>
      </c>
      <c r="B10" s="59" t="s">
        <v>199</v>
      </c>
      <c r="C10" s="59" t="s">
        <v>199</v>
      </c>
      <c r="D10" s="59" t="s">
        <v>200</v>
      </c>
      <c r="E10" s="59" t="s">
        <v>201</v>
      </c>
      <c r="F10" s="59" t="s">
        <v>177</v>
      </c>
      <c r="G10" s="59"/>
      <c r="H10" s="60" t="s">
        <v>202</v>
      </c>
      <c r="I10" s="55" t="s">
        <v>203</v>
      </c>
      <c r="J10" s="61" t="str">
        <f t="shared" si="4"/>
        <v>GoldAgosi AG</v>
      </c>
      <c r="K10" s="61" t="str">
        <f t="shared" si="5"/>
        <v>GoldAgosi AG</v>
      </c>
    </row>
    <row r="11" customHeight="1" spans="1:11">
      <c r="A11" s="59" t="s">
        <v>148</v>
      </c>
      <c r="B11" s="59" t="s">
        <v>204</v>
      </c>
      <c r="C11" s="59" t="s">
        <v>205</v>
      </c>
      <c r="D11" s="59" t="s">
        <v>181</v>
      </c>
      <c r="E11" s="59" t="s">
        <v>206</v>
      </c>
      <c r="F11" s="59" t="s">
        <v>177</v>
      </c>
      <c r="G11" s="59"/>
      <c r="H11" s="60" t="s">
        <v>207</v>
      </c>
      <c r="I11" s="55" t="s">
        <v>208</v>
      </c>
      <c r="J11" s="61" t="str">
        <f t="shared" si="4"/>
        <v>GoldAGR (Perth Mint Australia)</v>
      </c>
      <c r="K11" s="61" t="str">
        <f t="shared" si="5"/>
        <v>GoldAGR (Perth Mint Australia)</v>
      </c>
    </row>
    <row r="12" spans="1:11">
      <c r="A12" s="59" t="s">
        <v>148</v>
      </c>
      <c r="B12" s="59" t="s">
        <v>209</v>
      </c>
      <c r="C12" s="59" t="s">
        <v>205</v>
      </c>
      <c r="D12" s="59" t="s">
        <v>181</v>
      </c>
      <c r="E12" s="59" t="s">
        <v>206</v>
      </c>
      <c r="F12" s="59" t="s">
        <v>177</v>
      </c>
      <c r="G12" s="59"/>
      <c r="H12" s="60" t="s">
        <v>207</v>
      </c>
      <c r="I12" s="55" t="s">
        <v>208</v>
      </c>
      <c r="J12" s="61" t="str">
        <f t="shared" si="4"/>
        <v>GoldAGR Joint Venture</v>
      </c>
      <c r="K12" s="61" t="str">
        <f t="shared" si="5"/>
        <v>GoldAGR Joint Venture</v>
      </c>
    </row>
    <row r="13" spans="1:11">
      <c r="A13" s="59" t="s">
        <v>148</v>
      </c>
      <c r="B13" s="59" t="s">
        <v>210</v>
      </c>
      <c r="C13" s="59" t="s">
        <v>205</v>
      </c>
      <c r="D13" s="59" t="s">
        <v>181</v>
      </c>
      <c r="E13" s="59" t="s">
        <v>206</v>
      </c>
      <c r="F13" s="59" t="s">
        <v>177</v>
      </c>
      <c r="G13" s="59"/>
      <c r="H13" s="60" t="s">
        <v>207</v>
      </c>
      <c r="I13" s="55" t="s">
        <v>208</v>
      </c>
      <c r="J13" s="61" t="str">
        <f t="shared" si="4"/>
        <v>GoldAGR Mathey</v>
      </c>
      <c r="K13" s="61" t="str">
        <f t="shared" si="5"/>
        <v>GoldAGR Mathey</v>
      </c>
    </row>
    <row r="14" spans="1:11">
      <c r="A14" s="59" t="s">
        <v>148</v>
      </c>
      <c r="B14" s="59" t="s">
        <v>211</v>
      </c>
      <c r="C14" s="59" t="s">
        <v>205</v>
      </c>
      <c r="D14" s="59" t="s">
        <v>181</v>
      </c>
      <c r="E14" s="59" t="s">
        <v>206</v>
      </c>
      <c r="F14" s="59" t="s">
        <v>177</v>
      </c>
      <c r="G14" s="59"/>
      <c r="H14" s="60" t="s">
        <v>207</v>
      </c>
      <c r="I14" s="55" t="s">
        <v>208</v>
      </c>
      <c r="J14" s="61" t="str">
        <f t="shared" si="4"/>
        <v>GoldAGR Matthey</v>
      </c>
      <c r="K14" s="61" t="str">
        <f t="shared" si="5"/>
        <v>GoldAGR Matthey</v>
      </c>
    </row>
    <row r="15" spans="1:11">
      <c r="A15" s="59" t="s">
        <v>148</v>
      </c>
      <c r="B15" s="59" t="s">
        <v>212</v>
      </c>
      <c r="C15" s="59" t="s">
        <v>212</v>
      </c>
      <c r="D15" s="59" t="s">
        <v>213</v>
      </c>
      <c r="E15" s="59" t="s">
        <v>214</v>
      </c>
      <c r="F15" s="59" t="s">
        <v>177</v>
      </c>
      <c r="G15" s="59"/>
      <c r="H15" s="60" t="s">
        <v>215</v>
      </c>
      <c r="I15" s="55" t="s">
        <v>216</v>
      </c>
      <c r="J15" s="61" t="str">
        <f t="shared" si="4"/>
        <v>GoldAida Chemical Industries Co., Ltd.</v>
      </c>
      <c r="K15" s="61" t="str">
        <f t="shared" si="5"/>
        <v>GoldAida Chemical Industries Co., Ltd.</v>
      </c>
    </row>
    <row r="16" spans="1:11">
      <c r="A16" s="59" t="s">
        <v>148</v>
      </c>
      <c r="B16" s="59" t="s">
        <v>217</v>
      </c>
      <c r="C16" s="59" t="s">
        <v>218</v>
      </c>
      <c r="D16" s="59" t="s">
        <v>213</v>
      </c>
      <c r="E16" s="59" t="s">
        <v>219</v>
      </c>
      <c r="F16" s="59" t="s">
        <v>177</v>
      </c>
      <c r="G16" s="59"/>
      <c r="H16" s="60" t="s">
        <v>220</v>
      </c>
      <c r="I16" s="55" t="s">
        <v>221</v>
      </c>
      <c r="J16" s="61" t="str">
        <f t="shared" si="4"/>
        <v>GoldAKITA Seiren</v>
      </c>
      <c r="K16" s="61" t="str">
        <f t="shared" si="5"/>
        <v>GoldAKITA Seiren</v>
      </c>
    </row>
    <row r="17" spans="1:11">
      <c r="A17" s="59" t="s">
        <v>148</v>
      </c>
      <c r="B17" s="59" t="s">
        <v>222</v>
      </c>
      <c r="C17" s="59" t="s">
        <v>223</v>
      </c>
      <c r="D17" s="59" t="s">
        <v>224</v>
      </c>
      <c r="E17" s="59" t="s">
        <v>225</v>
      </c>
      <c r="F17" s="59" t="s">
        <v>177</v>
      </c>
      <c r="G17" s="59"/>
      <c r="H17" s="60" t="s">
        <v>226</v>
      </c>
      <c r="I17" s="55" t="s">
        <v>227</v>
      </c>
      <c r="J17" s="61" t="str">
        <f t="shared" si="4"/>
        <v>GoldAl Etihad Gold LLC</v>
      </c>
      <c r="K17" s="61" t="str">
        <f t="shared" si="5"/>
        <v>GoldAl Etihad Gold LLC</v>
      </c>
    </row>
    <row r="18" spans="1:11">
      <c r="A18" s="59" t="s">
        <v>148</v>
      </c>
      <c r="B18" s="59" t="s">
        <v>223</v>
      </c>
      <c r="C18" s="59" t="s">
        <v>223</v>
      </c>
      <c r="D18" s="59" t="s">
        <v>224</v>
      </c>
      <c r="E18" s="59" t="s">
        <v>225</v>
      </c>
      <c r="F18" s="59" t="s">
        <v>177</v>
      </c>
      <c r="G18" s="59"/>
      <c r="H18" s="60" t="s">
        <v>226</v>
      </c>
      <c r="I18" s="55" t="s">
        <v>227</v>
      </c>
      <c r="J18" s="61" t="str">
        <f t="shared" si="4"/>
        <v>GoldAl Etihad Gold Refinery DMCC</v>
      </c>
      <c r="K18" s="61" t="str">
        <f t="shared" si="5"/>
        <v>GoldAl Etihad Gold Refinery DMCC</v>
      </c>
    </row>
    <row r="19" spans="1:11">
      <c r="A19" s="59" t="s">
        <v>148</v>
      </c>
      <c r="B19" s="59" t="s">
        <v>228</v>
      </c>
      <c r="C19" s="59" t="s">
        <v>228</v>
      </c>
      <c r="D19" s="59" t="s">
        <v>229</v>
      </c>
      <c r="E19" s="59" t="s">
        <v>230</v>
      </c>
      <c r="F19" s="59" t="s">
        <v>177</v>
      </c>
      <c r="G19" s="59"/>
      <c r="H19" s="60" t="s">
        <v>231</v>
      </c>
      <c r="I19" s="55" t="s">
        <v>232</v>
      </c>
      <c r="J19" s="61" t="str">
        <f t="shared" si="4"/>
        <v>GoldAlbino Mountinho Lda.</v>
      </c>
      <c r="K19" s="61" t="str">
        <f t="shared" si="5"/>
        <v>GoldAlbino Mountinho Lda.</v>
      </c>
    </row>
    <row r="20" spans="1:11">
      <c r="A20" s="59" t="s">
        <v>148</v>
      </c>
      <c r="B20" s="59" t="s">
        <v>233</v>
      </c>
      <c r="C20" s="59" t="s">
        <v>233</v>
      </c>
      <c r="D20" s="59" t="s">
        <v>186</v>
      </c>
      <c r="E20" s="59" t="s">
        <v>234</v>
      </c>
      <c r="F20" s="59" t="s">
        <v>177</v>
      </c>
      <c r="G20" s="59"/>
      <c r="H20" s="60" t="s">
        <v>235</v>
      </c>
      <c r="I20" s="55" t="s">
        <v>236</v>
      </c>
      <c r="J20" s="61" t="str">
        <f t="shared" si="4"/>
        <v>GoldAlexy Metals</v>
      </c>
      <c r="K20" s="61" t="str">
        <f t="shared" si="5"/>
        <v>GoldAlexy Metals</v>
      </c>
    </row>
    <row r="21" spans="1:11">
      <c r="A21" s="59" t="s">
        <v>148</v>
      </c>
      <c r="B21" s="59" t="s">
        <v>237</v>
      </c>
      <c r="C21" s="59" t="s">
        <v>199</v>
      </c>
      <c r="D21" s="59" t="s">
        <v>200</v>
      </c>
      <c r="E21" s="59" t="s">
        <v>201</v>
      </c>
      <c r="F21" s="59" t="s">
        <v>177</v>
      </c>
      <c r="G21" s="59"/>
      <c r="H21" s="60" t="s">
        <v>202</v>
      </c>
      <c r="I21" s="55" t="s">
        <v>203</v>
      </c>
      <c r="J21" s="61" t="str">
        <f t="shared" si="4"/>
        <v>GoldAllgemeine Gold-und Silberscheideanstalt A.G.</v>
      </c>
      <c r="K21" s="61" t="str">
        <f t="shared" si="5"/>
        <v>GoldAllgemeine Gold-und Silberscheideanstalt A.G.</v>
      </c>
    </row>
    <row r="22" spans="1:11">
      <c r="A22" s="59" t="s">
        <v>148</v>
      </c>
      <c r="B22" s="59" t="s">
        <v>238</v>
      </c>
      <c r="C22" s="59" t="s">
        <v>238</v>
      </c>
      <c r="D22" s="59" t="s">
        <v>239</v>
      </c>
      <c r="E22" s="59" t="s">
        <v>240</v>
      </c>
      <c r="F22" s="59" t="s">
        <v>177</v>
      </c>
      <c r="G22" s="59"/>
      <c r="H22" s="60" t="s">
        <v>241</v>
      </c>
      <c r="I22" s="55" t="s">
        <v>242</v>
      </c>
      <c r="J22" s="61" t="str">
        <f t="shared" si="4"/>
        <v>GoldAlmalyk Mining and Metallurgical Complex (AMMC)</v>
      </c>
      <c r="K22" s="61" t="str">
        <f t="shared" si="5"/>
        <v>GoldAlmalyk Mining and Metallurgical Complex (AMMC)</v>
      </c>
    </row>
    <row r="23" spans="1:11">
      <c r="A23" s="59" t="s">
        <v>148</v>
      </c>
      <c r="B23" s="59" t="s">
        <v>243</v>
      </c>
      <c r="C23" s="59" t="s">
        <v>244</v>
      </c>
      <c r="D23" s="59" t="s">
        <v>213</v>
      </c>
      <c r="E23" s="59" t="s">
        <v>245</v>
      </c>
      <c r="F23" s="59" t="s">
        <v>177</v>
      </c>
      <c r="G23" s="59"/>
      <c r="H23" s="60" t="s">
        <v>246</v>
      </c>
      <c r="I23" s="55" t="s">
        <v>247</v>
      </c>
      <c r="J23" s="61" t="str">
        <f t="shared" si="4"/>
        <v>GoldAmagasaki Factory, Hyogo Prefecture, Japan</v>
      </c>
      <c r="K23" s="61" t="str">
        <f t="shared" si="5"/>
        <v>GoldAmagasaki Factory, Hyogo Prefecture, Japan</v>
      </c>
    </row>
    <row r="24" spans="1:11">
      <c r="A24" s="59" t="s">
        <v>148</v>
      </c>
      <c r="B24" s="59" t="s">
        <v>248</v>
      </c>
      <c r="C24" s="59" t="s">
        <v>249</v>
      </c>
      <c r="D24" s="59" t="s">
        <v>250</v>
      </c>
      <c r="E24" s="59" t="s">
        <v>251</v>
      </c>
      <c r="F24" s="59" t="s">
        <v>177</v>
      </c>
      <c r="G24" s="59"/>
      <c r="H24" s="60" t="s">
        <v>252</v>
      </c>
      <c r="I24" s="55" t="s">
        <v>253</v>
      </c>
      <c r="J24" s="61" t="str">
        <f t="shared" si="4"/>
        <v>GoldAngloGold Ashanti Brazil</v>
      </c>
      <c r="K24" s="61" t="str">
        <f t="shared" si="5"/>
        <v>GoldAngloGold Ashanti Brazil</v>
      </c>
    </row>
    <row r="25" spans="1:11">
      <c r="A25" s="59" t="s">
        <v>148</v>
      </c>
      <c r="B25" s="59" t="s">
        <v>249</v>
      </c>
      <c r="C25" s="59" t="s">
        <v>249</v>
      </c>
      <c r="D25" s="59" t="s">
        <v>250</v>
      </c>
      <c r="E25" s="59" t="s">
        <v>251</v>
      </c>
      <c r="F25" s="59" t="s">
        <v>177</v>
      </c>
      <c r="G25" s="59"/>
      <c r="H25" s="60" t="s">
        <v>252</v>
      </c>
      <c r="I25" s="55" t="s">
        <v>253</v>
      </c>
      <c r="J25" s="61" t="str">
        <f t="shared" si="4"/>
        <v>GoldAngloGold Ashanti Corrego do Sitio Mineracao</v>
      </c>
      <c r="K25" s="61" t="str">
        <f t="shared" si="5"/>
        <v>GoldAngloGold Ashanti Corrego do Sitio Mineracao</v>
      </c>
    </row>
    <row r="26" spans="1:11">
      <c r="A26" s="59" t="s">
        <v>148</v>
      </c>
      <c r="B26" s="59" t="s">
        <v>254</v>
      </c>
      <c r="C26" s="59" t="s">
        <v>249</v>
      </c>
      <c r="D26" s="59" t="s">
        <v>250</v>
      </c>
      <c r="E26" s="59" t="s">
        <v>251</v>
      </c>
      <c r="F26" s="59" t="s">
        <v>177</v>
      </c>
      <c r="G26" s="59"/>
      <c r="H26" s="60" t="s">
        <v>252</v>
      </c>
      <c r="I26" s="55" t="s">
        <v>253</v>
      </c>
      <c r="J26" s="61" t="str">
        <f t="shared" si="4"/>
        <v>GoldAngloGold Ashanti Córrego do Sítio Mineração</v>
      </c>
      <c r="K26" s="61" t="str">
        <f t="shared" si="5"/>
        <v>GoldAngloGold Ashanti Córrego do Sítio Mineração</v>
      </c>
    </row>
    <row r="27" spans="1:11">
      <c r="A27" s="59" t="s">
        <v>148</v>
      </c>
      <c r="B27" s="59" t="s">
        <v>255</v>
      </c>
      <c r="C27" s="59" t="s">
        <v>256</v>
      </c>
      <c r="D27" s="59" t="s">
        <v>257</v>
      </c>
      <c r="E27" s="59" t="s">
        <v>258</v>
      </c>
      <c r="F27" s="59" t="s">
        <v>177</v>
      </c>
      <c r="G27" s="59"/>
      <c r="H27" s="60" t="s">
        <v>259</v>
      </c>
      <c r="I27" s="55" t="s">
        <v>260</v>
      </c>
      <c r="J27" s="61" t="str">
        <f t="shared" si="4"/>
        <v>GoldAnhui Tongling Nonferrous Metal Mining Co., Ltd.</v>
      </c>
      <c r="K27" s="61" t="str">
        <f t="shared" si="5"/>
        <v>GoldAnhui Tongling Nonferrous Metal Mining Co., Ltd.</v>
      </c>
    </row>
    <row r="28" spans="1:11">
      <c r="A28" s="59" t="s">
        <v>148</v>
      </c>
      <c r="B28" s="59" t="s">
        <v>261</v>
      </c>
      <c r="C28" s="59" t="s">
        <v>205</v>
      </c>
      <c r="D28" s="59" t="s">
        <v>181</v>
      </c>
      <c r="E28" s="59" t="s">
        <v>206</v>
      </c>
      <c r="F28" s="59" t="s">
        <v>177</v>
      </c>
      <c r="G28" s="59"/>
      <c r="H28" s="60" t="s">
        <v>207</v>
      </c>
      <c r="I28" s="55" t="s">
        <v>208</v>
      </c>
      <c r="J28" s="61" t="str">
        <f t="shared" si="4"/>
        <v>GoldANZ (Perth Mint 4N)</v>
      </c>
      <c r="K28" s="61" t="str">
        <f t="shared" si="5"/>
        <v>GoldANZ (Perth Mint 4N)</v>
      </c>
    </row>
    <row r="29" spans="1:11">
      <c r="A29" s="59" t="s">
        <v>148</v>
      </c>
      <c r="B29" s="59" t="s">
        <v>262</v>
      </c>
      <c r="C29" s="59" t="s">
        <v>205</v>
      </c>
      <c r="D29" s="59" t="s">
        <v>181</v>
      </c>
      <c r="E29" s="59" t="s">
        <v>206</v>
      </c>
      <c r="F29" s="59" t="s">
        <v>177</v>
      </c>
      <c r="G29" s="59"/>
      <c r="H29" s="60" t="s">
        <v>207</v>
      </c>
      <c r="I29" s="55" t="s">
        <v>208</v>
      </c>
      <c r="J29" s="61" t="str">
        <f t="shared" si="4"/>
        <v>GoldANZ Bank</v>
      </c>
      <c r="K29" s="61" t="str">
        <f t="shared" si="5"/>
        <v>GoldANZ Bank</v>
      </c>
    </row>
    <row r="30" spans="1:11">
      <c r="A30" s="59" t="s">
        <v>148</v>
      </c>
      <c r="B30" s="59" t="s">
        <v>263</v>
      </c>
      <c r="C30" s="59" t="s">
        <v>263</v>
      </c>
      <c r="D30" s="59" t="s">
        <v>264</v>
      </c>
      <c r="E30" s="59" t="s">
        <v>265</v>
      </c>
      <c r="F30" s="59" t="s">
        <v>177</v>
      </c>
      <c r="G30" s="59"/>
      <c r="H30" s="60" t="s">
        <v>266</v>
      </c>
      <c r="I30" s="55" t="s">
        <v>266</v>
      </c>
      <c r="J30" s="61" t="str">
        <f t="shared" si="4"/>
        <v>GoldARGET SAC</v>
      </c>
      <c r="K30" s="61" t="str">
        <f t="shared" si="5"/>
        <v>GoldARGET SAC</v>
      </c>
    </row>
    <row r="31" spans="1:11">
      <c r="A31" s="59" t="s">
        <v>148</v>
      </c>
      <c r="B31" s="59" t="s">
        <v>267</v>
      </c>
      <c r="C31" s="59" t="s">
        <v>267</v>
      </c>
      <c r="D31" s="59" t="s">
        <v>268</v>
      </c>
      <c r="E31" s="59" t="s">
        <v>269</v>
      </c>
      <c r="F31" s="59" t="s">
        <v>177</v>
      </c>
      <c r="G31" s="59"/>
      <c r="H31" s="60" t="s">
        <v>270</v>
      </c>
      <c r="I31" s="55" t="s">
        <v>271</v>
      </c>
      <c r="J31" s="61" t="str">
        <f t="shared" si="4"/>
        <v>GoldArgor-Heraeus S.A.</v>
      </c>
      <c r="K31" s="61" t="str">
        <f t="shared" si="5"/>
        <v>GoldArgor-Heraeus S.A.</v>
      </c>
    </row>
    <row r="32" spans="1:11">
      <c r="A32" s="59" t="s">
        <v>148</v>
      </c>
      <c r="B32" s="59" t="s">
        <v>244</v>
      </c>
      <c r="C32" s="59" t="s">
        <v>244</v>
      </c>
      <c r="D32" s="59" t="s">
        <v>213</v>
      </c>
      <c r="E32" s="59" t="s">
        <v>245</v>
      </c>
      <c r="F32" s="59" t="s">
        <v>177</v>
      </c>
      <c r="G32" s="59"/>
      <c r="H32" s="60" t="s">
        <v>246</v>
      </c>
      <c r="I32" s="55" t="s">
        <v>247</v>
      </c>
      <c r="J32" s="61" t="str">
        <f t="shared" si="4"/>
        <v>GoldASAHI METALFINE, Inc.</v>
      </c>
      <c r="K32" s="61" t="str">
        <f t="shared" si="5"/>
        <v>GoldASAHI METALFINE, Inc.</v>
      </c>
    </row>
    <row r="33" spans="1:11">
      <c r="A33" s="59" t="s">
        <v>148</v>
      </c>
      <c r="B33" s="59" t="s">
        <v>272</v>
      </c>
      <c r="C33" s="59" t="s">
        <v>244</v>
      </c>
      <c r="D33" s="59" t="s">
        <v>213</v>
      </c>
      <c r="E33" s="59" t="s">
        <v>245</v>
      </c>
      <c r="F33" s="59" t="s">
        <v>177</v>
      </c>
      <c r="G33" s="59"/>
      <c r="H33" s="60" t="s">
        <v>246</v>
      </c>
      <c r="I33" s="55" t="s">
        <v>247</v>
      </c>
      <c r="J33" s="61" t="str">
        <f t="shared" si="4"/>
        <v>GoldAsahi Pretec Corp.</v>
      </c>
      <c r="K33" s="61" t="str">
        <f t="shared" si="5"/>
        <v>GoldAsahi Pretec Corp.</v>
      </c>
    </row>
    <row r="34" spans="1:11">
      <c r="A34" s="59" t="s">
        <v>148</v>
      </c>
      <c r="B34" s="59" t="s">
        <v>273</v>
      </c>
      <c r="C34" s="59" t="s">
        <v>273</v>
      </c>
      <c r="D34" s="59" t="s">
        <v>274</v>
      </c>
      <c r="E34" s="59" t="s">
        <v>275</v>
      </c>
      <c r="F34" s="59" t="s">
        <v>177</v>
      </c>
      <c r="G34" s="59"/>
      <c r="H34" s="60" t="s">
        <v>276</v>
      </c>
      <c r="I34" s="55" t="s">
        <v>277</v>
      </c>
      <c r="J34" s="61" t="str">
        <f t="shared" si="4"/>
        <v>GoldAsahi Refining Canada Ltd.</v>
      </c>
      <c r="K34" s="61" t="str">
        <f t="shared" si="5"/>
        <v>GoldAsahi Refining Canada Ltd.</v>
      </c>
    </row>
    <row r="35" spans="1:11">
      <c r="A35" s="59" t="s">
        <v>148</v>
      </c>
      <c r="B35" s="59" t="s">
        <v>278</v>
      </c>
      <c r="C35" s="59" t="s">
        <v>278</v>
      </c>
      <c r="D35" s="59" t="s">
        <v>186</v>
      </c>
      <c r="E35" s="59" t="s">
        <v>279</v>
      </c>
      <c r="F35" s="59" t="s">
        <v>177</v>
      </c>
      <c r="G35" s="59"/>
      <c r="H35" s="60" t="s">
        <v>280</v>
      </c>
      <c r="I35" s="55" t="s">
        <v>281</v>
      </c>
      <c r="J35" s="61" t="str">
        <f t="shared" si="4"/>
        <v>GoldAsahi Refining USA Inc.</v>
      </c>
      <c r="K35" s="61" t="str">
        <f t="shared" si="5"/>
        <v>GoldAsahi Refining USA Inc.</v>
      </c>
    </row>
    <row r="36" spans="1:11">
      <c r="A36" s="59" t="s">
        <v>148</v>
      </c>
      <c r="B36" s="59" t="s">
        <v>282</v>
      </c>
      <c r="C36" s="59" t="s">
        <v>282</v>
      </c>
      <c r="D36" s="59" t="s">
        <v>213</v>
      </c>
      <c r="E36" s="59" t="s">
        <v>283</v>
      </c>
      <c r="F36" s="59" t="s">
        <v>177</v>
      </c>
      <c r="G36" s="59"/>
      <c r="H36" s="60" t="s">
        <v>284</v>
      </c>
      <c r="I36" s="55" t="s">
        <v>285</v>
      </c>
      <c r="J36" s="61" t="str">
        <f t="shared" si="4"/>
        <v>GoldAsaka Riken Co., Ltd.</v>
      </c>
      <c r="K36" s="61" t="str">
        <f t="shared" si="5"/>
        <v>GoldAsaka Riken Co., Ltd.</v>
      </c>
    </row>
    <row r="37" spans="1:11">
      <c r="A37" s="59" t="s">
        <v>148</v>
      </c>
      <c r="B37" s="59" t="s">
        <v>286</v>
      </c>
      <c r="C37" s="59" t="s">
        <v>287</v>
      </c>
      <c r="D37" s="59" t="s">
        <v>288</v>
      </c>
      <c r="E37" s="59" t="s">
        <v>289</v>
      </c>
      <c r="F37" s="59" t="s">
        <v>177</v>
      </c>
      <c r="G37" s="59"/>
      <c r="H37" s="60" t="s">
        <v>290</v>
      </c>
      <c r="I37" s="55" t="s">
        <v>290</v>
      </c>
      <c r="J37" s="61" t="str">
        <f t="shared" si="4"/>
        <v>GoldAtlantic Copper S.A.</v>
      </c>
      <c r="K37" s="61" t="str">
        <f t="shared" si="5"/>
        <v>GoldAtlantic Copper S.A.</v>
      </c>
    </row>
    <row r="38" spans="1:11">
      <c r="A38" s="59" t="s">
        <v>148</v>
      </c>
      <c r="B38" s="59" t="s">
        <v>287</v>
      </c>
      <c r="C38" s="59" t="s">
        <v>287</v>
      </c>
      <c r="D38" s="59" t="s">
        <v>288</v>
      </c>
      <c r="E38" s="59" t="s">
        <v>289</v>
      </c>
      <c r="F38" s="59" t="s">
        <v>177</v>
      </c>
      <c r="G38" s="59"/>
      <c r="H38" s="60" t="s">
        <v>290</v>
      </c>
      <c r="I38" s="55" t="s">
        <v>290</v>
      </c>
      <c r="J38" s="61" t="str">
        <f t="shared" si="4"/>
        <v>GoldAtlantic Copper, S.L.U.</v>
      </c>
      <c r="K38" s="61" t="str">
        <f t="shared" si="5"/>
        <v>GoldAtlantic Copper, S.L.U.</v>
      </c>
    </row>
    <row r="39" spans="1:11">
      <c r="A39" s="59" t="s">
        <v>148</v>
      </c>
      <c r="B39" s="59" t="s">
        <v>291</v>
      </c>
      <c r="C39" s="59" t="s">
        <v>291</v>
      </c>
      <c r="D39" s="59" t="s">
        <v>292</v>
      </c>
      <c r="E39" s="59" t="s">
        <v>293</v>
      </c>
      <c r="F39" s="59" t="s">
        <v>177</v>
      </c>
      <c r="G39" s="59"/>
      <c r="H39" s="60" t="s">
        <v>294</v>
      </c>
      <c r="I39" s="55" t="s">
        <v>295</v>
      </c>
      <c r="J39" s="61" t="str">
        <f t="shared" si="4"/>
        <v>GoldAttero Recycling Pvt Ltd</v>
      </c>
      <c r="K39" s="61" t="str">
        <f t="shared" si="5"/>
        <v>GoldAttero Recycling Pvt Ltd</v>
      </c>
    </row>
    <row r="40" spans="1:11">
      <c r="A40" s="59" t="s">
        <v>148</v>
      </c>
      <c r="B40" s="59" t="s">
        <v>296</v>
      </c>
      <c r="C40" s="59" t="s">
        <v>297</v>
      </c>
      <c r="D40" s="59" t="s">
        <v>298</v>
      </c>
      <c r="E40" s="59" t="s">
        <v>299</v>
      </c>
      <c r="F40" s="59" t="s">
        <v>177</v>
      </c>
      <c r="G40" s="59"/>
      <c r="H40" s="60" t="s">
        <v>300</v>
      </c>
      <c r="I40" s="55" t="s">
        <v>301</v>
      </c>
      <c r="J40" s="61" t="str">
        <f t="shared" si="4"/>
        <v>GoldAu Compliance - Gold by Gold</v>
      </c>
      <c r="K40" s="61" t="str">
        <f t="shared" si="5"/>
        <v>GoldAu Compliance - Gold by Gold</v>
      </c>
    </row>
    <row r="41" spans="1:11">
      <c r="A41" s="59" t="s">
        <v>148</v>
      </c>
      <c r="B41" s="59" t="s">
        <v>302</v>
      </c>
      <c r="C41" s="59" t="s">
        <v>302</v>
      </c>
      <c r="D41" s="59" t="s">
        <v>303</v>
      </c>
      <c r="E41" s="59" t="s">
        <v>304</v>
      </c>
      <c r="F41" s="59" t="s">
        <v>177</v>
      </c>
      <c r="G41" s="59"/>
      <c r="H41" s="60" t="s">
        <v>305</v>
      </c>
      <c r="I41" s="55" t="s">
        <v>306</v>
      </c>
      <c r="J41" s="61" t="str">
        <f t="shared" si="4"/>
        <v>GoldAU Traders and Refiners</v>
      </c>
      <c r="K41" s="61" t="str">
        <f t="shared" si="5"/>
        <v>GoldAU Traders and Refiners</v>
      </c>
    </row>
    <row r="42" spans="1:11">
      <c r="A42" s="59" t="s">
        <v>148</v>
      </c>
      <c r="B42" s="59" t="s">
        <v>307</v>
      </c>
      <c r="C42" s="59" t="s">
        <v>307</v>
      </c>
      <c r="D42" s="59" t="s">
        <v>292</v>
      </c>
      <c r="E42" s="59" t="s">
        <v>308</v>
      </c>
      <c r="F42" s="59" t="s">
        <v>177</v>
      </c>
      <c r="G42" s="59"/>
      <c r="H42" s="60" t="s">
        <v>309</v>
      </c>
      <c r="I42" s="55" t="s">
        <v>310</v>
      </c>
      <c r="J42" s="61" t="str">
        <f t="shared" si="4"/>
        <v>GoldAugmont Enterprises Private Limited</v>
      </c>
      <c r="K42" s="61" t="str">
        <f t="shared" si="5"/>
        <v>GoldAugmont Enterprises Private Limited</v>
      </c>
    </row>
    <row r="43" spans="1:11">
      <c r="A43" s="59" t="s">
        <v>148</v>
      </c>
      <c r="B43" s="59" t="s">
        <v>311</v>
      </c>
      <c r="C43" s="59" t="s">
        <v>312</v>
      </c>
      <c r="D43" s="59" t="s">
        <v>200</v>
      </c>
      <c r="E43" s="59" t="s">
        <v>313</v>
      </c>
      <c r="F43" s="59" t="s">
        <v>177</v>
      </c>
      <c r="G43" s="59"/>
      <c r="H43" s="60" t="s">
        <v>314</v>
      </c>
      <c r="I43" s="55" t="s">
        <v>314</v>
      </c>
      <c r="J43" s="61" t="str">
        <f t="shared" si="4"/>
        <v>GoldAurubis AG</v>
      </c>
      <c r="K43" s="61" t="str">
        <f t="shared" si="5"/>
        <v>GoldAurubis AG</v>
      </c>
    </row>
    <row r="44" spans="1:11">
      <c r="A44" s="59" t="s">
        <v>148</v>
      </c>
      <c r="B44" s="59" t="s">
        <v>312</v>
      </c>
      <c r="C44" s="59" t="s">
        <v>312</v>
      </c>
      <c r="D44" s="59" t="s">
        <v>200</v>
      </c>
      <c r="E44" s="59" t="s">
        <v>313</v>
      </c>
      <c r="F44" s="59" t="s">
        <v>177</v>
      </c>
      <c r="G44" s="59"/>
      <c r="H44" s="60" t="s">
        <v>314</v>
      </c>
      <c r="I44" s="55" t="s">
        <v>314</v>
      </c>
      <c r="J44" s="61" t="str">
        <f t="shared" si="4"/>
        <v>GoldAurubis AG, Hamburg</v>
      </c>
      <c r="K44" s="61" t="str">
        <f t="shared" si="5"/>
        <v>GoldAurubis AG, Hamburg</v>
      </c>
    </row>
    <row r="45" spans="1:11">
      <c r="A45" s="59" t="s">
        <v>148</v>
      </c>
      <c r="B45" s="59" t="s">
        <v>315</v>
      </c>
      <c r="C45" s="59" t="s">
        <v>205</v>
      </c>
      <c r="D45" s="59" t="s">
        <v>181</v>
      </c>
      <c r="E45" s="59" t="s">
        <v>206</v>
      </c>
      <c r="F45" s="59" t="s">
        <v>177</v>
      </c>
      <c r="G45" s="59"/>
      <c r="H45" s="60" t="s">
        <v>207</v>
      </c>
      <c r="I45" s="55" t="s">
        <v>208</v>
      </c>
      <c r="J45" s="61" t="str">
        <f t="shared" si="4"/>
        <v>GoldAustralian Gold Refineries (AGR)</v>
      </c>
      <c r="K45" s="61" t="str">
        <f t="shared" si="5"/>
        <v>GoldAustralian Gold Refineries (AGR)</v>
      </c>
    </row>
    <row r="46" spans="1:11">
      <c r="A46" s="59" t="s">
        <v>148</v>
      </c>
      <c r="B46" s="59" t="s">
        <v>316</v>
      </c>
      <c r="C46" s="59" t="s">
        <v>317</v>
      </c>
      <c r="D46" s="59" t="s">
        <v>292</v>
      </c>
      <c r="E46" s="59" t="s">
        <v>318</v>
      </c>
      <c r="F46" s="59" t="s">
        <v>177</v>
      </c>
      <c r="G46" s="59"/>
      <c r="H46" s="60" t="s">
        <v>319</v>
      </c>
      <c r="I46" s="55" t="s">
        <v>320</v>
      </c>
      <c r="J46" s="61" t="str">
        <f t="shared" si="4"/>
        <v>GoldBALORE REFINERSGA</v>
      </c>
      <c r="K46" s="61" t="str">
        <f t="shared" si="5"/>
        <v>GoldBALORE REFINERSGA</v>
      </c>
    </row>
    <row r="47" spans="1:11">
      <c r="A47" s="59" t="s">
        <v>148</v>
      </c>
      <c r="B47" s="59" t="s">
        <v>317</v>
      </c>
      <c r="C47" s="59" t="s">
        <v>317</v>
      </c>
      <c r="D47" s="59" t="s">
        <v>292</v>
      </c>
      <c r="E47" s="59" t="s">
        <v>318</v>
      </c>
      <c r="F47" s="59" t="s">
        <v>177</v>
      </c>
      <c r="G47" s="59"/>
      <c r="H47" s="60" t="s">
        <v>319</v>
      </c>
      <c r="I47" s="55" t="s">
        <v>320</v>
      </c>
      <c r="J47" s="61" t="str">
        <f t="shared" si="4"/>
        <v>GoldBangalore Refinery</v>
      </c>
      <c r="K47" s="61" t="str">
        <f t="shared" si="5"/>
        <v>GoldBangalore Refinery</v>
      </c>
    </row>
    <row r="48" spans="1:11">
      <c r="A48" s="59" t="s">
        <v>148</v>
      </c>
      <c r="B48" s="59" t="s">
        <v>321</v>
      </c>
      <c r="C48" s="59" t="s">
        <v>317</v>
      </c>
      <c r="D48" s="59" t="s">
        <v>292</v>
      </c>
      <c r="E48" s="59" t="s">
        <v>318</v>
      </c>
      <c r="F48" s="59" t="s">
        <v>177</v>
      </c>
      <c r="G48" s="59"/>
      <c r="H48" s="60" t="s">
        <v>319</v>
      </c>
      <c r="I48" s="55" t="s">
        <v>320</v>
      </c>
      <c r="J48" s="61" t="str">
        <f t="shared" si="4"/>
        <v>GoldBangalore Refinery Pvt Ltd</v>
      </c>
      <c r="K48" s="61" t="str">
        <f t="shared" si="5"/>
        <v>GoldBangalore Refinery Pvt Ltd</v>
      </c>
    </row>
    <row r="49" spans="1:11">
      <c r="A49" s="59" t="s">
        <v>148</v>
      </c>
      <c r="B49" s="59" t="s">
        <v>322</v>
      </c>
      <c r="C49" s="59" t="s">
        <v>322</v>
      </c>
      <c r="D49" s="59" t="s">
        <v>323</v>
      </c>
      <c r="E49" s="59" t="s">
        <v>324</v>
      </c>
      <c r="F49" s="59" t="s">
        <v>177</v>
      </c>
      <c r="G49" s="59"/>
      <c r="H49" s="60" t="s">
        <v>325</v>
      </c>
      <c r="I49" s="55" t="s">
        <v>326</v>
      </c>
      <c r="J49" s="61" t="str">
        <f t="shared" si="4"/>
        <v>GoldBangko Sentral ng Pilipinas (Central Bank of the Philippines)</v>
      </c>
      <c r="K49" s="61" t="str">
        <f t="shared" si="5"/>
        <v>GoldBangko Sentral ng Pilipinas (Central Bank of the Philippines)</v>
      </c>
    </row>
    <row r="50" spans="1:11">
      <c r="A50" s="59" t="s">
        <v>148</v>
      </c>
      <c r="B50" s="59" t="s">
        <v>327</v>
      </c>
      <c r="C50" s="59" t="s">
        <v>327</v>
      </c>
      <c r="D50" s="59" t="s">
        <v>328</v>
      </c>
      <c r="E50" s="59" t="s">
        <v>329</v>
      </c>
      <c r="F50" s="59" t="s">
        <v>177</v>
      </c>
      <c r="G50" s="59"/>
      <c r="H50" s="60" t="s">
        <v>330</v>
      </c>
      <c r="I50" s="55" t="s">
        <v>331</v>
      </c>
      <c r="J50" s="61" t="str">
        <f t="shared" si="4"/>
        <v>GoldBoliden Harjavalta Oy</v>
      </c>
      <c r="K50" s="61" t="str">
        <f t="shared" si="5"/>
        <v>GoldBoliden Harjavalta Oy</v>
      </c>
    </row>
    <row r="51" spans="1:11">
      <c r="A51" s="59" t="s">
        <v>148</v>
      </c>
      <c r="B51" s="59" t="s">
        <v>332</v>
      </c>
      <c r="C51" s="59" t="s">
        <v>332</v>
      </c>
      <c r="D51" s="59" t="s">
        <v>333</v>
      </c>
      <c r="E51" s="59" t="s">
        <v>334</v>
      </c>
      <c r="F51" s="59" t="s">
        <v>177</v>
      </c>
      <c r="G51" s="59"/>
      <c r="H51" s="60" t="s">
        <v>335</v>
      </c>
      <c r="I51" s="55" t="s">
        <v>336</v>
      </c>
      <c r="J51" s="61" t="str">
        <f t="shared" si="4"/>
        <v>GoldBoliden Mineral AB (Ronnskar)</v>
      </c>
      <c r="K51" s="61" t="str">
        <f t="shared" si="5"/>
        <v>GoldBoliden Mineral AB (Ronnskar)</v>
      </c>
    </row>
    <row r="52" spans="1:11">
      <c r="A52" s="59" t="s">
        <v>148</v>
      </c>
      <c r="B52" s="59" t="s">
        <v>337</v>
      </c>
      <c r="C52" s="59" t="s">
        <v>332</v>
      </c>
      <c r="D52" s="59" t="s">
        <v>333</v>
      </c>
      <c r="E52" s="59" t="s">
        <v>334</v>
      </c>
      <c r="F52" s="59" t="s">
        <v>177</v>
      </c>
      <c r="G52" s="59"/>
      <c r="H52" s="60" t="s">
        <v>335</v>
      </c>
      <c r="I52" s="55" t="s">
        <v>336</v>
      </c>
      <c r="J52" s="61" t="str">
        <f t="shared" si="4"/>
        <v>GoldBoliden Ronnskar</v>
      </c>
      <c r="K52" s="61" t="str">
        <f t="shared" si="5"/>
        <v>GoldBoliden Ronnskar</v>
      </c>
    </row>
    <row r="53" spans="1:11">
      <c r="A53" s="59" t="s">
        <v>148</v>
      </c>
      <c r="B53" s="59" t="s">
        <v>338</v>
      </c>
      <c r="C53" s="59" t="s">
        <v>339</v>
      </c>
      <c r="D53" s="59" t="s">
        <v>340</v>
      </c>
      <c r="E53" s="59" t="s">
        <v>341</v>
      </c>
      <c r="F53" s="59" t="s">
        <v>177</v>
      </c>
      <c r="G53" s="59"/>
      <c r="H53" s="60" t="s">
        <v>342</v>
      </c>
      <c r="I53" s="55" t="s">
        <v>343</v>
      </c>
      <c r="J53" s="61" t="str">
        <f t="shared" si="4"/>
        <v>GoldBranch Refinery OJSC Kyrgyzaltyn</v>
      </c>
      <c r="K53" s="61" t="str">
        <f t="shared" si="5"/>
        <v>GoldBranch Refinery OJSC Kyrgyzaltyn</v>
      </c>
    </row>
    <row r="54" spans="1:11">
      <c r="A54" s="59" t="s">
        <v>148</v>
      </c>
      <c r="B54" s="59" t="s">
        <v>344</v>
      </c>
      <c r="C54" s="59" t="s">
        <v>344</v>
      </c>
      <c r="D54" s="59" t="s">
        <v>200</v>
      </c>
      <c r="E54" s="59" t="s">
        <v>345</v>
      </c>
      <c r="F54" s="59" t="s">
        <v>177</v>
      </c>
      <c r="G54" s="59"/>
      <c r="H54" s="60" t="s">
        <v>346</v>
      </c>
      <c r="I54" s="55" t="s">
        <v>203</v>
      </c>
      <c r="J54" s="61" t="str">
        <f t="shared" si="4"/>
        <v>GoldC. Hafner GmbH + Co. KG</v>
      </c>
      <c r="K54" s="61" t="str">
        <f t="shared" si="5"/>
        <v>GoldC. Hafner GmbH + Co. KG</v>
      </c>
    </row>
    <row r="55" spans="1:11">
      <c r="A55" s="59" t="s">
        <v>148</v>
      </c>
      <c r="B55" s="59" t="s">
        <v>347</v>
      </c>
      <c r="C55" s="59" t="s">
        <v>347</v>
      </c>
      <c r="D55" s="59" t="s">
        <v>348</v>
      </c>
      <c r="E55" s="59" t="s">
        <v>349</v>
      </c>
      <c r="F55" s="59" t="s">
        <v>177</v>
      </c>
      <c r="G55" s="59"/>
      <c r="H55" s="60" t="s">
        <v>350</v>
      </c>
      <c r="I55" s="55" t="s">
        <v>351</v>
      </c>
      <c r="J55" s="61" t="str">
        <f t="shared" si="4"/>
        <v>GoldCaridad</v>
      </c>
      <c r="K55" s="61" t="str">
        <f t="shared" si="5"/>
        <v>GoldCaridad</v>
      </c>
    </row>
    <row r="56" spans="1:11">
      <c r="A56" s="59" t="s">
        <v>148</v>
      </c>
      <c r="B56" s="59" t="s">
        <v>352</v>
      </c>
      <c r="C56" s="59" t="s">
        <v>353</v>
      </c>
      <c r="D56" s="59" t="s">
        <v>274</v>
      </c>
      <c r="E56" s="59" t="s">
        <v>354</v>
      </c>
      <c r="F56" s="59" t="s">
        <v>177</v>
      </c>
      <c r="G56" s="59"/>
      <c r="H56" s="60" t="s">
        <v>355</v>
      </c>
      <c r="I56" s="55" t="s">
        <v>356</v>
      </c>
      <c r="J56" s="61" t="str">
        <f t="shared" si="4"/>
        <v>GoldCCR</v>
      </c>
      <c r="K56" s="61" t="str">
        <f t="shared" si="5"/>
        <v>GoldCCR</v>
      </c>
    </row>
    <row r="57" spans="1:11">
      <c r="A57" s="59" t="s">
        <v>148</v>
      </c>
      <c r="B57" s="59" t="s">
        <v>357</v>
      </c>
      <c r="C57" s="59" t="s">
        <v>353</v>
      </c>
      <c r="D57" s="59" t="s">
        <v>274</v>
      </c>
      <c r="E57" s="59" t="s">
        <v>354</v>
      </c>
      <c r="F57" s="59" t="s">
        <v>177</v>
      </c>
      <c r="G57" s="59"/>
      <c r="H57" s="60" t="s">
        <v>355</v>
      </c>
      <c r="I57" s="55" t="s">
        <v>356</v>
      </c>
      <c r="J57" s="61" t="str">
        <f t="shared" si="4"/>
        <v>GoldCCR Refinery - Glencore Canada Corporation</v>
      </c>
      <c r="K57" s="61" t="str">
        <f t="shared" si="5"/>
        <v>GoldCCR Refinery - Glencore Canada Corporation</v>
      </c>
    </row>
    <row r="58" spans="1:11">
      <c r="A58" s="59" t="s">
        <v>148</v>
      </c>
      <c r="B58" s="59" t="s">
        <v>358</v>
      </c>
      <c r="C58" s="59" t="s">
        <v>359</v>
      </c>
      <c r="D58" s="59" t="s">
        <v>268</v>
      </c>
      <c r="E58" s="59" t="s">
        <v>360</v>
      </c>
      <c r="F58" s="59" t="s">
        <v>177</v>
      </c>
      <c r="G58" s="59"/>
      <c r="H58" s="60" t="s">
        <v>361</v>
      </c>
      <c r="I58" s="55" t="s">
        <v>362</v>
      </c>
      <c r="J58" s="61" t="str">
        <f t="shared" si="4"/>
        <v>GoldCendres + M?taux SA</v>
      </c>
      <c r="K58" s="61" t="str">
        <f t="shared" si="5"/>
        <v>GoldCendres + M?taux SA</v>
      </c>
    </row>
    <row r="59" spans="1:11">
      <c r="A59" s="59" t="s">
        <v>148</v>
      </c>
      <c r="B59" s="59" t="s">
        <v>359</v>
      </c>
      <c r="C59" s="59" t="s">
        <v>359</v>
      </c>
      <c r="D59" s="59" t="s">
        <v>268</v>
      </c>
      <c r="E59" s="59" t="s">
        <v>360</v>
      </c>
      <c r="F59" s="59" t="s">
        <v>177</v>
      </c>
      <c r="G59" s="59"/>
      <c r="H59" s="60" t="s">
        <v>361</v>
      </c>
      <c r="I59" s="55" t="s">
        <v>362</v>
      </c>
      <c r="J59" s="61" t="str">
        <f t="shared" si="4"/>
        <v>GoldCendres + Metaux S.A.</v>
      </c>
      <c r="K59" s="61" t="str">
        <f t="shared" si="5"/>
        <v>GoldCendres + Metaux S.A.</v>
      </c>
    </row>
    <row r="60" spans="1:11">
      <c r="A60" s="59" t="s">
        <v>148</v>
      </c>
      <c r="B60" s="59" t="s">
        <v>363</v>
      </c>
      <c r="C60" s="59" t="s">
        <v>359</v>
      </c>
      <c r="D60" s="59" t="s">
        <v>268</v>
      </c>
      <c r="E60" s="59" t="s">
        <v>360</v>
      </c>
      <c r="F60" s="59" t="s">
        <v>177</v>
      </c>
      <c r="G60" s="59"/>
      <c r="H60" s="60" t="s">
        <v>361</v>
      </c>
      <c r="I60" s="55" t="s">
        <v>362</v>
      </c>
      <c r="J60" s="61" t="str">
        <f t="shared" si="4"/>
        <v>GoldCendres + Métaux S.A.</v>
      </c>
      <c r="K60" s="61" t="str">
        <f t="shared" si="5"/>
        <v>GoldCendres + Métaux S.A.</v>
      </c>
    </row>
    <row r="61" spans="1:11">
      <c r="A61" s="59" t="s">
        <v>148</v>
      </c>
      <c r="B61" s="59" t="s">
        <v>364</v>
      </c>
      <c r="C61" s="59" t="s">
        <v>322</v>
      </c>
      <c r="D61" s="59" t="s">
        <v>323</v>
      </c>
      <c r="E61" s="59" t="s">
        <v>324</v>
      </c>
      <c r="F61" s="59" t="s">
        <v>177</v>
      </c>
      <c r="G61" s="59"/>
      <c r="H61" s="60" t="s">
        <v>325</v>
      </c>
      <c r="I61" s="55" t="s">
        <v>326</v>
      </c>
      <c r="J61" s="61" t="str">
        <f t="shared" si="4"/>
        <v>GoldCentral Bank of the Philippines Gold Refinery &amp; Mint</v>
      </c>
      <c r="K61" s="61" t="str">
        <f t="shared" si="5"/>
        <v>GoldCentral Bank of the Philippines Gold Refinery &amp; Mint</v>
      </c>
    </row>
    <row r="62" spans="1:11">
      <c r="A62" s="59" t="s">
        <v>148</v>
      </c>
      <c r="B62" s="59" t="s">
        <v>365</v>
      </c>
      <c r="C62" s="59" t="s">
        <v>365</v>
      </c>
      <c r="D62" s="59" t="s">
        <v>292</v>
      </c>
      <c r="E62" s="59" t="s">
        <v>366</v>
      </c>
      <c r="F62" s="59" t="s">
        <v>177</v>
      </c>
      <c r="G62" s="59"/>
      <c r="H62" s="60" t="s">
        <v>367</v>
      </c>
      <c r="I62" s="55" t="s">
        <v>368</v>
      </c>
      <c r="J62" s="61" t="str">
        <f t="shared" si="4"/>
        <v>GoldCGR Metalloys Pvt Ltd.</v>
      </c>
      <c r="K62" s="61" t="str">
        <f t="shared" si="5"/>
        <v>GoldCGR Metalloys Pvt Ltd.</v>
      </c>
    </row>
    <row r="63" spans="1:11">
      <c r="A63" s="59" t="s">
        <v>148</v>
      </c>
      <c r="B63" s="59" t="s">
        <v>369</v>
      </c>
      <c r="C63" s="59" t="s">
        <v>370</v>
      </c>
      <c r="D63" s="59" t="s">
        <v>264</v>
      </c>
      <c r="E63" s="59" t="s">
        <v>371</v>
      </c>
      <c r="F63" s="59" t="s">
        <v>177</v>
      </c>
      <c r="G63" s="59"/>
      <c r="H63" s="60" t="s">
        <v>372</v>
      </c>
      <c r="I63" s="55" t="s">
        <v>373</v>
      </c>
      <c r="J63" s="61" t="str">
        <f t="shared" si="4"/>
        <v>GoldChala One Plant</v>
      </c>
      <c r="K63" s="61" t="str">
        <f t="shared" si="5"/>
        <v>GoldChala One Plant</v>
      </c>
    </row>
    <row r="64" spans="1:11">
      <c r="A64" s="59" t="s">
        <v>148</v>
      </c>
      <c r="B64" s="59" t="s">
        <v>374</v>
      </c>
      <c r="C64" s="59" t="s">
        <v>370</v>
      </c>
      <c r="D64" s="59" t="s">
        <v>264</v>
      </c>
      <c r="E64" s="59" t="s">
        <v>371</v>
      </c>
      <c r="F64" s="59" t="s">
        <v>177</v>
      </c>
      <c r="G64" s="59"/>
      <c r="H64" s="60" t="s">
        <v>372</v>
      </c>
      <c r="I64" s="55" t="s">
        <v>373</v>
      </c>
      <c r="J64" s="61" t="str">
        <f t="shared" si="4"/>
        <v>GoldChala One S.A.C.</v>
      </c>
      <c r="K64" s="61" t="str">
        <f t="shared" si="5"/>
        <v>GoldChala One S.A.C.</v>
      </c>
    </row>
    <row r="65" spans="1:11">
      <c r="A65" s="59" t="s">
        <v>148</v>
      </c>
      <c r="B65" s="59" t="s">
        <v>375</v>
      </c>
      <c r="C65" s="59" t="s">
        <v>376</v>
      </c>
      <c r="D65" s="59" t="s">
        <v>257</v>
      </c>
      <c r="E65" s="59" t="s">
        <v>377</v>
      </c>
      <c r="F65" s="59" t="s">
        <v>177</v>
      </c>
      <c r="G65" s="59"/>
      <c r="H65" s="60" t="s">
        <v>378</v>
      </c>
      <c r="I65" s="55" t="s">
        <v>379</v>
      </c>
      <c r="J65" s="61" t="str">
        <f t="shared" si="4"/>
        <v>GoldCHALCO Yunnan Copper Co. Ltd.</v>
      </c>
      <c r="K65" s="61" t="str">
        <f t="shared" si="5"/>
        <v>GoldCHALCO Yunnan Copper Co. Ltd.</v>
      </c>
    </row>
    <row r="66" spans="1:11">
      <c r="A66" s="59" t="s">
        <v>148</v>
      </c>
      <c r="B66" s="59" t="s">
        <v>380</v>
      </c>
      <c r="C66" s="59" t="s">
        <v>365</v>
      </c>
      <c r="D66" s="59" t="s">
        <v>292</v>
      </c>
      <c r="E66" s="59" t="s">
        <v>366</v>
      </c>
      <c r="F66" s="59" t="s">
        <v>177</v>
      </c>
      <c r="G66" s="59"/>
      <c r="H66" s="60" t="s">
        <v>367</v>
      </c>
      <c r="I66" s="55" t="s">
        <v>368</v>
      </c>
      <c r="J66" s="61" t="str">
        <f t="shared" si="4"/>
        <v>GoldChemmanur Gold Refinery</v>
      </c>
      <c r="K66" s="61" t="str">
        <f t="shared" si="5"/>
        <v>GoldChemmanur Gold Refinery</v>
      </c>
    </row>
    <row r="67" spans="1:11">
      <c r="A67" s="59" t="s">
        <v>148</v>
      </c>
      <c r="B67" s="59" t="s">
        <v>381</v>
      </c>
      <c r="C67" s="59" t="s">
        <v>381</v>
      </c>
      <c r="D67" s="59" t="s">
        <v>175</v>
      </c>
      <c r="E67" s="59" t="s">
        <v>382</v>
      </c>
      <c r="F67" s="59" t="s">
        <v>177</v>
      </c>
      <c r="G67" s="59"/>
      <c r="H67" s="60" t="s">
        <v>383</v>
      </c>
      <c r="I67" s="55" t="s">
        <v>384</v>
      </c>
      <c r="J67" s="61" t="str">
        <f t="shared" si="4"/>
        <v>GoldChimet S.p.A.</v>
      </c>
      <c r="K67" s="61" t="str">
        <f t="shared" si="5"/>
        <v>GoldChimet S.p.A.</v>
      </c>
    </row>
    <row r="68" spans="1:11">
      <c r="A68" s="59" t="s">
        <v>148</v>
      </c>
      <c r="B68" s="59" t="s">
        <v>385</v>
      </c>
      <c r="C68" s="59" t="s">
        <v>386</v>
      </c>
      <c r="D68" s="59" t="s">
        <v>257</v>
      </c>
      <c r="E68" s="59" t="s">
        <v>387</v>
      </c>
      <c r="F68" s="59" t="s">
        <v>177</v>
      </c>
      <c r="G68" s="59"/>
      <c r="H68" s="60" t="s">
        <v>388</v>
      </c>
      <c r="I68" s="55" t="s">
        <v>389</v>
      </c>
      <c r="J68" s="61" t="str">
        <f t="shared" ref="J68:J131" si="6">A68&amp;B68</f>
        <v>GoldChina Henan Zhongyuan Gold Smelter</v>
      </c>
      <c r="K68" s="61" t="str">
        <f t="shared" ref="K68:K131" si="7">A68&amp;B68</f>
        <v>GoldChina Henan Zhongyuan Gold Smelter</v>
      </c>
    </row>
    <row r="69" spans="1:11">
      <c r="A69" s="59" t="s">
        <v>148</v>
      </c>
      <c r="B69" s="59" t="s">
        <v>390</v>
      </c>
      <c r="C69" s="59" t="s">
        <v>391</v>
      </c>
      <c r="D69" s="59" t="s">
        <v>257</v>
      </c>
      <c r="E69" s="59" t="s">
        <v>392</v>
      </c>
      <c r="F69" s="59" t="s">
        <v>177</v>
      </c>
      <c r="G69" s="59"/>
      <c r="H69" s="60" t="s">
        <v>393</v>
      </c>
      <c r="I69" s="55" t="s">
        <v>394</v>
      </c>
      <c r="J69" s="61" t="str">
        <f t="shared" si="6"/>
        <v>GoldChina's Shandong Gold Mining Co., Ltd</v>
      </c>
      <c r="K69" s="61" t="str">
        <f t="shared" si="7"/>
        <v>GoldChina's Shandong Gold Mining Co., Ltd</v>
      </c>
    </row>
    <row r="70" spans="1:11">
      <c r="A70" s="59" t="s">
        <v>148</v>
      </c>
      <c r="B70" s="59" t="s">
        <v>395</v>
      </c>
      <c r="C70" s="59" t="s">
        <v>395</v>
      </c>
      <c r="D70" s="59" t="s">
        <v>213</v>
      </c>
      <c r="E70" s="59" t="s">
        <v>396</v>
      </c>
      <c r="F70" s="59" t="s">
        <v>177</v>
      </c>
      <c r="G70" s="59"/>
      <c r="H70" s="60" t="s">
        <v>397</v>
      </c>
      <c r="I70" s="55" t="s">
        <v>216</v>
      </c>
      <c r="J70" s="61" t="str">
        <f t="shared" si="6"/>
        <v>GoldChugai Mining</v>
      </c>
      <c r="K70" s="61" t="str">
        <f t="shared" si="7"/>
        <v>GoldChugai Mining</v>
      </c>
    </row>
    <row r="71" spans="1:11">
      <c r="A71" s="59" t="s">
        <v>148</v>
      </c>
      <c r="B71" s="59" t="s">
        <v>398</v>
      </c>
      <c r="C71" s="59" t="s">
        <v>398</v>
      </c>
      <c r="D71" s="59" t="s">
        <v>250</v>
      </c>
      <c r="E71" s="59" t="s">
        <v>399</v>
      </c>
      <c r="F71" s="59" t="s">
        <v>177</v>
      </c>
      <c r="G71" s="59"/>
      <c r="H71" s="60" t="s">
        <v>400</v>
      </c>
      <c r="I71" s="55" t="s">
        <v>401</v>
      </c>
      <c r="J71" s="61" t="str">
        <f t="shared" si="6"/>
        <v>GoldCoimpa Industrial LTDA</v>
      </c>
      <c r="K71" s="61" t="str">
        <f t="shared" si="7"/>
        <v>GoldCoimpa Industrial LTDA</v>
      </c>
    </row>
    <row r="72" spans="1:11">
      <c r="A72" s="59" t="s">
        <v>148</v>
      </c>
      <c r="B72" s="59" t="s">
        <v>402</v>
      </c>
      <c r="C72" s="59" t="s">
        <v>402</v>
      </c>
      <c r="D72" s="59" t="s">
        <v>257</v>
      </c>
      <c r="E72" s="59" t="s">
        <v>403</v>
      </c>
      <c r="F72" s="59" t="s">
        <v>177</v>
      </c>
      <c r="G72" s="59"/>
      <c r="H72" s="60" t="s">
        <v>404</v>
      </c>
      <c r="I72" s="55" t="s">
        <v>405</v>
      </c>
      <c r="J72" s="61" t="str">
        <f t="shared" si="6"/>
        <v>GoldDaye Non-Ferrous Metals Mining Ltd.</v>
      </c>
      <c r="K72" s="61" t="str">
        <f t="shared" si="7"/>
        <v>GoldDaye Non-Ferrous Metals Mining Ltd.</v>
      </c>
    </row>
    <row r="73" spans="1:11">
      <c r="A73" s="59" t="s">
        <v>148</v>
      </c>
      <c r="B73" s="59" t="s">
        <v>406</v>
      </c>
      <c r="C73" s="59" t="s">
        <v>407</v>
      </c>
      <c r="D73" s="59" t="s">
        <v>200</v>
      </c>
      <c r="E73" s="59" t="s">
        <v>408</v>
      </c>
      <c r="F73" s="59" t="s">
        <v>177</v>
      </c>
      <c r="G73" s="59"/>
      <c r="H73" s="60" t="s">
        <v>202</v>
      </c>
      <c r="I73" s="55" t="s">
        <v>203</v>
      </c>
      <c r="J73" s="61" t="str">
        <f t="shared" si="6"/>
        <v>GoldDEGUSSA</v>
      </c>
      <c r="K73" s="61" t="str">
        <f t="shared" si="7"/>
        <v>GoldDEGUSSA</v>
      </c>
    </row>
    <row r="74" spans="1:11">
      <c r="A74" s="59" t="s">
        <v>148</v>
      </c>
      <c r="B74" s="59" t="s">
        <v>407</v>
      </c>
      <c r="C74" s="59" t="s">
        <v>407</v>
      </c>
      <c r="D74" s="59" t="s">
        <v>200</v>
      </c>
      <c r="E74" s="59" t="s">
        <v>408</v>
      </c>
      <c r="F74" s="59" t="s">
        <v>177</v>
      </c>
      <c r="G74" s="59"/>
      <c r="H74" s="60" t="s">
        <v>202</v>
      </c>
      <c r="I74" s="55" t="s">
        <v>203</v>
      </c>
      <c r="J74" s="61" t="str">
        <f t="shared" si="6"/>
        <v>GoldDegussa Sonne / Mond Goldhandel GmbH</v>
      </c>
      <c r="K74" s="61" t="str">
        <f t="shared" si="7"/>
        <v>GoldDegussa Sonne / Mond Goldhandel GmbH</v>
      </c>
    </row>
    <row r="75" spans="1:11">
      <c r="A75" s="59" t="s">
        <v>148</v>
      </c>
      <c r="B75" s="59" t="s">
        <v>409</v>
      </c>
      <c r="C75" s="59" t="s">
        <v>409</v>
      </c>
      <c r="D75" s="59" t="s">
        <v>224</v>
      </c>
      <c r="E75" s="59" t="s">
        <v>410</v>
      </c>
      <c r="F75" s="59" t="s">
        <v>177</v>
      </c>
      <c r="G75" s="59"/>
      <c r="H75" s="60" t="s">
        <v>411</v>
      </c>
      <c r="I75" s="55" t="s">
        <v>412</v>
      </c>
      <c r="J75" s="61" t="str">
        <f t="shared" si="6"/>
        <v>GoldDijllah Gold Refinery FZC</v>
      </c>
      <c r="K75" s="61" t="str">
        <f t="shared" si="7"/>
        <v>GoldDijllah Gold Refinery FZC</v>
      </c>
    </row>
    <row r="76" spans="1:11">
      <c r="A76" s="59" t="s">
        <v>148</v>
      </c>
      <c r="B76" s="59" t="s">
        <v>413</v>
      </c>
      <c r="C76" s="59" t="s">
        <v>414</v>
      </c>
      <c r="D76" s="59" t="s">
        <v>415</v>
      </c>
      <c r="E76" s="59" t="s">
        <v>416</v>
      </c>
      <c r="F76" s="59" t="s">
        <v>177</v>
      </c>
      <c r="G76" s="59"/>
      <c r="H76" s="60" t="s">
        <v>417</v>
      </c>
      <c r="I76" s="55" t="s">
        <v>418</v>
      </c>
      <c r="J76" s="61" t="str">
        <f t="shared" si="6"/>
        <v>GoldDo Sung Corporation</v>
      </c>
      <c r="K76" s="61" t="str">
        <f t="shared" si="7"/>
        <v>GoldDo Sung Corporation</v>
      </c>
    </row>
    <row r="77" spans="1:11">
      <c r="A77" s="59" t="s">
        <v>148</v>
      </c>
      <c r="B77" s="59" t="s">
        <v>419</v>
      </c>
      <c r="C77" s="59" t="s">
        <v>419</v>
      </c>
      <c r="D77" s="59" t="s">
        <v>257</v>
      </c>
      <c r="E77" s="59" t="s">
        <v>420</v>
      </c>
      <c r="F77" s="59" t="s">
        <v>177</v>
      </c>
      <c r="G77" s="59"/>
      <c r="H77" s="60" t="s">
        <v>421</v>
      </c>
      <c r="I77" s="55" t="s">
        <v>422</v>
      </c>
      <c r="J77" s="61" t="str">
        <f t="shared" si="6"/>
        <v>GoldDongwu Gold Group</v>
      </c>
      <c r="K77" s="61" t="str">
        <f t="shared" si="7"/>
        <v>GoldDongwu Gold Group</v>
      </c>
    </row>
    <row r="78" spans="1:11">
      <c r="A78" s="59" t="s">
        <v>148</v>
      </c>
      <c r="B78" s="59" t="s">
        <v>423</v>
      </c>
      <c r="C78" s="59" t="s">
        <v>414</v>
      </c>
      <c r="D78" s="59" t="s">
        <v>415</v>
      </c>
      <c r="E78" s="59" t="s">
        <v>416</v>
      </c>
      <c r="F78" s="59" t="s">
        <v>177</v>
      </c>
      <c r="G78" s="59"/>
      <c r="H78" s="60" t="s">
        <v>417</v>
      </c>
      <c r="I78" s="55" t="s">
        <v>418</v>
      </c>
      <c r="J78" s="61" t="str">
        <f t="shared" si="6"/>
        <v>GoldDosung metal</v>
      </c>
      <c r="K78" s="61" t="str">
        <f t="shared" si="7"/>
        <v>GoldDosung metal</v>
      </c>
    </row>
    <row r="79" spans="1:11">
      <c r="A79" s="59" t="s">
        <v>148</v>
      </c>
      <c r="B79" s="59" t="s">
        <v>218</v>
      </c>
      <c r="C79" s="59" t="s">
        <v>218</v>
      </c>
      <c r="D79" s="59" t="s">
        <v>213</v>
      </c>
      <c r="E79" s="59" t="s">
        <v>219</v>
      </c>
      <c r="F79" s="59" t="s">
        <v>177</v>
      </c>
      <c r="G79" s="59"/>
      <c r="H79" s="60" t="s">
        <v>220</v>
      </c>
      <c r="I79" s="55" t="s">
        <v>221</v>
      </c>
      <c r="J79" s="61" t="str">
        <f t="shared" si="6"/>
        <v>GoldDowa</v>
      </c>
      <c r="K79" s="61" t="str">
        <f t="shared" si="7"/>
        <v>GoldDowa</v>
      </c>
    </row>
    <row r="80" spans="1:11">
      <c r="A80" s="59" t="s">
        <v>148</v>
      </c>
      <c r="B80" s="59" t="s">
        <v>424</v>
      </c>
      <c r="C80" s="59" t="s">
        <v>218</v>
      </c>
      <c r="D80" s="59" t="s">
        <v>213</v>
      </c>
      <c r="E80" s="59" t="s">
        <v>219</v>
      </c>
      <c r="F80" s="59" t="s">
        <v>177</v>
      </c>
      <c r="G80" s="59"/>
      <c r="H80" s="60" t="s">
        <v>220</v>
      </c>
      <c r="I80" s="55" t="s">
        <v>221</v>
      </c>
      <c r="J80" s="61" t="str">
        <f t="shared" si="6"/>
        <v>GoldDowa Kogyo k.k.</v>
      </c>
      <c r="K80" s="61" t="str">
        <f t="shared" si="7"/>
        <v>GoldDowa Kogyo k.k.</v>
      </c>
    </row>
    <row r="81" spans="1:11">
      <c r="A81" s="59" t="s">
        <v>148</v>
      </c>
      <c r="B81" s="59" t="s">
        <v>425</v>
      </c>
      <c r="C81" s="59" t="s">
        <v>218</v>
      </c>
      <c r="D81" s="59" t="s">
        <v>213</v>
      </c>
      <c r="E81" s="59" t="s">
        <v>219</v>
      </c>
      <c r="F81" s="59" t="s">
        <v>177</v>
      </c>
      <c r="G81" s="59"/>
      <c r="H81" s="60" t="s">
        <v>220</v>
      </c>
      <c r="I81" s="55" t="s">
        <v>221</v>
      </c>
      <c r="J81" s="61" t="str">
        <f t="shared" si="6"/>
        <v>GoldDowa Metalmine Co. Ltd</v>
      </c>
      <c r="K81" s="61" t="str">
        <f t="shared" si="7"/>
        <v>GoldDowa Metalmine Co. Ltd</v>
      </c>
    </row>
    <row r="82" spans="1:11">
      <c r="A82" s="59" t="s">
        <v>148</v>
      </c>
      <c r="B82" s="59" t="s">
        <v>426</v>
      </c>
      <c r="C82" s="59" t="s">
        <v>218</v>
      </c>
      <c r="D82" s="59" t="s">
        <v>213</v>
      </c>
      <c r="E82" s="59" t="s">
        <v>219</v>
      </c>
      <c r="F82" s="59" t="s">
        <v>177</v>
      </c>
      <c r="G82" s="59"/>
      <c r="H82" s="60" t="s">
        <v>220</v>
      </c>
      <c r="I82" s="55" t="s">
        <v>221</v>
      </c>
      <c r="J82" s="61" t="str">
        <f t="shared" si="6"/>
        <v>GoldDowa Metals &amp; Mining Co. Ltd</v>
      </c>
      <c r="K82" s="61" t="str">
        <f t="shared" si="7"/>
        <v>GoldDowa Metals &amp; Mining Co. Ltd</v>
      </c>
    </row>
    <row r="83" spans="1:11">
      <c r="A83" s="59" t="s">
        <v>148</v>
      </c>
      <c r="B83" s="59" t="s">
        <v>414</v>
      </c>
      <c r="C83" s="59" t="s">
        <v>414</v>
      </c>
      <c r="D83" s="59" t="s">
        <v>415</v>
      </c>
      <c r="E83" s="59" t="s">
        <v>416</v>
      </c>
      <c r="F83" s="59" t="s">
        <v>177</v>
      </c>
      <c r="G83" s="59"/>
      <c r="H83" s="60" t="s">
        <v>417</v>
      </c>
      <c r="I83" s="55" t="s">
        <v>418</v>
      </c>
      <c r="J83" s="61" t="str">
        <f t="shared" si="6"/>
        <v>GoldDSC (Do Sung Corporation)</v>
      </c>
      <c r="K83" s="61" t="str">
        <f t="shared" si="7"/>
        <v>GoldDSC (Do Sung Corporation)</v>
      </c>
    </row>
    <row r="84" spans="1:11">
      <c r="A84" s="59" t="s">
        <v>148</v>
      </c>
      <c r="B84" s="59" t="s">
        <v>427</v>
      </c>
      <c r="C84" s="59" t="s">
        <v>427</v>
      </c>
      <c r="D84" s="59" t="s">
        <v>213</v>
      </c>
      <c r="E84" s="59" t="s">
        <v>428</v>
      </c>
      <c r="F84" s="59" t="s">
        <v>177</v>
      </c>
      <c r="G84" s="59"/>
      <c r="H84" s="60" t="s">
        <v>429</v>
      </c>
      <c r="I84" s="55" t="s">
        <v>430</v>
      </c>
      <c r="J84" s="61" t="str">
        <f t="shared" si="6"/>
        <v>GoldEco-System Recycling Co., Ltd. East Plant</v>
      </c>
      <c r="K84" s="61" t="str">
        <f t="shared" si="7"/>
        <v>GoldEco-System Recycling Co., Ltd. East Plant</v>
      </c>
    </row>
    <row r="85" spans="1:11">
      <c r="A85" s="59" t="s">
        <v>148</v>
      </c>
      <c r="B85" s="59" t="s">
        <v>431</v>
      </c>
      <c r="C85" s="59" t="s">
        <v>431</v>
      </c>
      <c r="D85" s="59" t="s">
        <v>213</v>
      </c>
      <c r="E85" s="59" t="s">
        <v>432</v>
      </c>
      <c r="F85" s="59" t="s">
        <v>177</v>
      </c>
      <c r="G85" s="59"/>
      <c r="H85" s="60" t="s">
        <v>433</v>
      </c>
      <c r="I85" s="55" t="s">
        <v>221</v>
      </c>
      <c r="J85" s="61" t="str">
        <f t="shared" si="6"/>
        <v>GoldEco-System Recycling Co., Ltd. North Plant</v>
      </c>
      <c r="K85" s="61" t="str">
        <f t="shared" si="7"/>
        <v>GoldEco-System Recycling Co., Ltd. North Plant</v>
      </c>
    </row>
    <row r="86" spans="1:11">
      <c r="A86" s="59" t="s">
        <v>148</v>
      </c>
      <c r="B86" s="59" t="s">
        <v>434</v>
      </c>
      <c r="C86" s="59" t="s">
        <v>434</v>
      </c>
      <c r="D86" s="59" t="s">
        <v>213</v>
      </c>
      <c r="E86" s="59" t="s">
        <v>435</v>
      </c>
      <c r="F86" s="59" t="s">
        <v>177</v>
      </c>
      <c r="G86" s="59"/>
      <c r="H86" s="60" t="s">
        <v>436</v>
      </c>
      <c r="I86" s="55" t="s">
        <v>436</v>
      </c>
      <c r="J86" s="61" t="str">
        <f t="shared" si="6"/>
        <v>GoldEco-System Recycling Co., Ltd. West Plant</v>
      </c>
      <c r="K86" s="61" t="str">
        <f t="shared" si="7"/>
        <v>GoldEco-System Recycling Co., Ltd. West Plant</v>
      </c>
    </row>
    <row r="87" spans="1:11">
      <c r="A87" s="59" t="s">
        <v>148</v>
      </c>
      <c r="B87" s="59" t="s">
        <v>437</v>
      </c>
      <c r="C87" s="59" t="s">
        <v>438</v>
      </c>
      <c r="D87" s="59" t="s">
        <v>439</v>
      </c>
      <c r="E87" s="59" t="s">
        <v>440</v>
      </c>
      <c r="F87" s="59" t="s">
        <v>177</v>
      </c>
      <c r="G87" s="59"/>
      <c r="H87" s="60" t="s">
        <v>441</v>
      </c>
      <c r="I87" s="55" t="s">
        <v>442</v>
      </c>
      <c r="J87" s="61" t="str">
        <f t="shared" si="6"/>
        <v>GoldEkaterinburg</v>
      </c>
      <c r="K87" s="61" t="str">
        <f t="shared" si="7"/>
        <v>GoldEkaterinburg</v>
      </c>
    </row>
    <row r="88" spans="1:11">
      <c r="A88" s="59" t="s">
        <v>148</v>
      </c>
      <c r="B88" s="59" t="s">
        <v>443</v>
      </c>
      <c r="C88" s="59" t="s">
        <v>443</v>
      </c>
      <c r="D88" s="59" t="s">
        <v>444</v>
      </c>
      <c r="E88" s="59" t="s">
        <v>445</v>
      </c>
      <c r="F88" s="59" t="s">
        <v>177</v>
      </c>
      <c r="G88" s="59"/>
      <c r="H88" s="60" t="s">
        <v>446</v>
      </c>
      <c r="I88" s="55" t="s">
        <v>447</v>
      </c>
      <c r="J88" s="61" t="str">
        <f t="shared" si="6"/>
        <v>GoldElite Industech Co., Ltd.</v>
      </c>
      <c r="K88" s="61" t="str">
        <f t="shared" si="7"/>
        <v>GoldElite Industech Co., Ltd.</v>
      </c>
    </row>
    <row r="89" spans="1:11">
      <c r="A89" s="59" t="s">
        <v>148</v>
      </c>
      <c r="B89" s="59" t="s">
        <v>448</v>
      </c>
      <c r="C89" s="59" t="s">
        <v>449</v>
      </c>
      <c r="D89" s="59" t="s">
        <v>264</v>
      </c>
      <c r="E89" s="59" t="s">
        <v>450</v>
      </c>
      <c r="F89" s="59" t="s">
        <v>177</v>
      </c>
      <c r="G89" s="59"/>
      <c r="H89" s="60" t="s">
        <v>451</v>
      </c>
      <c r="I89" s="55" t="s">
        <v>373</v>
      </c>
      <c r="J89" s="61" t="str">
        <f t="shared" si="6"/>
        <v>GoldEMC Green Group S.A.</v>
      </c>
      <c r="K89" s="61" t="str">
        <f t="shared" si="7"/>
        <v>GoldEMC Green Group S.A.</v>
      </c>
    </row>
    <row r="90" spans="1:11">
      <c r="A90" s="59" t="s">
        <v>148</v>
      </c>
      <c r="B90" s="59" t="s">
        <v>452</v>
      </c>
      <c r="C90" s="59" t="s">
        <v>452</v>
      </c>
      <c r="D90" s="59" t="s">
        <v>292</v>
      </c>
      <c r="E90" s="59" t="s">
        <v>453</v>
      </c>
      <c r="F90" s="59" t="s">
        <v>177</v>
      </c>
      <c r="G90" s="59"/>
      <c r="H90" s="60" t="s">
        <v>454</v>
      </c>
      <c r="I90" s="55" t="s">
        <v>455</v>
      </c>
      <c r="J90" s="61" t="str">
        <f t="shared" si="6"/>
        <v>GoldEmerald Jewel Industry India Limited (Unit 1)</v>
      </c>
      <c r="K90" s="61" t="str">
        <f t="shared" si="7"/>
        <v>GoldEmerald Jewel Industry India Limited (Unit 1)</v>
      </c>
    </row>
    <row r="91" spans="1:11">
      <c r="A91" s="59" t="s">
        <v>148</v>
      </c>
      <c r="B91" s="59" t="s">
        <v>456</v>
      </c>
      <c r="C91" s="59" t="s">
        <v>456</v>
      </c>
      <c r="D91" s="59" t="s">
        <v>292</v>
      </c>
      <c r="E91" s="59" t="s">
        <v>457</v>
      </c>
      <c r="F91" s="59" t="s">
        <v>177</v>
      </c>
      <c r="G91" s="59"/>
      <c r="H91" s="60" t="s">
        <v>454</v>
      </c>
      <c r="I91" s="55" t="s">
        <v>455</v>
      </c>
      <c r="J91" s="61" t="str">
        <f t="shared" si="6"/>
        <v>GoldEmerald Jewel Industry India Limited (Unit 2)</v>
      </c>
      <c r="K91" s="61" t="str">
        <f t="shared" si="7"/>
        <v>GoldEmerald Jewel Industry India Limited (Unit 2)</v>
      </c>
    </row>
    <row r="92" spans="1:11">
      <c r="A92" s="59" t="s">
        <v>148</v>
      </c>
      <c r="B92" s="59" t="s">
        <v>458</v>
      </c>
      <c r="C92" s="59" t="s">
        <v>458</v>
      </c>
      <c r="D92" s="59" t="s">
        <v>292</v>
      </c>
      <c r="E92" s="59" t="s">
        <v>459</v>
      </c>
      <c r="F92" s="59" t="s">
        <v>177</v>
      </c>
      <c r="G92" s="59"/>
      <c r="H92" s="60" t="s">
        <v>454</v>
      </c>
      <c r="I92" s="55" t="s">
        <v>455</v>
      </c>
      <c r="J92" s="61" t="str">
        <f t="shared" si="6"/>
        <v>GoldEmerald Jewel Industry India Limited (Unit 3)</v>
      </c>
      <c r="K92" s="61" t="str">
        <f t="shared" si="7"/>
        <v>GoldEmerald Jewel Industry India Limited (Unit 3)</v>
      </c>
    </row>
    <row r="93" spans="1:11">
      <c r="A93" s="59" t="s">
        <v>148</v>
      </c>
      <c r="B93" s="59" t="s">
        <v>460</v>
      </c>
      <c r="C93" s="59" t="s">
        <v>460</v>
      </c>
      <c r="D93" s="59" t="s">
        <v>292</v>
      </c>
      <c r="E93" s="59" t="s">
        <v>461</v>
      </c>
      <c r="F93" s="59" t="s">
        <v>177</v>
      </c>
      <c r="G93" s="59"/>
      <c r="H93" s="60" t="s">
        <v>454</v>
      </c>
      <c r="I93" s="55" t="s">
        <v>455</v>
      </c>
      <c r="J93" s="61" t="str">
        <f t="shared" si="6"/>
        <v>GoldEmerald Jewel Industry India Limited (Unit 4)</v>
      </c>
      <c r="K93" s="61" t="str">
        <f t="shared" si="7"/>
        <v>GoldEmerald Jewel Industry India Limited (Unit 4)</v>
      </c>
    </row>
    <row r="94" spans="1:11">
      <c r="A94" s="59" t="s">
        <v>148</v>
      </c>
      <c r="B94" s="59" t="s">
        <v>462</v>
      </c>
      <c r="C94" s="59" t="s">
        <v>462</v>
      </c>
      <c r="D94" s="59" t="s">
        <v>224</v>
      </c>
      <c r="E94" s="59" t="s">
        <v>463</v>
      </c>
      <c r="F94" s="59" t="s">
        <v>177</v>
      </c>
      <c r="G94" s="59"/>
      <c r="H94" s="60" t="s">
        <v>226</v>
      </c>
      <c r="I94" s="55" t="s">
        <v>227</v>
      </c>
      <c r="J94" s="61" t="str">
        <f t="shared" si="6"/>
        <v>GoldEmirates Gold DMCC</v>
      </c>
      <c r="K94" s="61" t="str">
        <f t="shared" si="7"/>
        <v>GoldEmirates Gold DMCC</v>
      </c>
    </row>
    <row r="95" spans="1:11">
      <c r="A95" s="59" t="s">
        <v>148</v>
      </c>
      <c r="B95" s="59" t="s">
        <v>464</v>
      </c>
      <c r="C95" s="59" t="s">
        <v>465</v>
      </c>
      <c r="D95" s="59" t="s">
        <v>439</v>
      </c>
      <c r="E95" s="59" t="s">
        <v>466</v>
      </c>
      <c r="F95" s="59" t="s">
        <v>177</v>
      </c>
      <c r="G95" s="59"/>
      <c r="H95" s="60" t="s">
        <v>467</v>
      </c>
      <c r="I95" s="55" t="s">
        <v>468</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469</v>
      </c>
      <c r="C96" s="59" t="s">
        <v>469</v>
      </c>
      <c r="D96" s="59" t="s">
        <v>470</v>
      </c>
      <c r="E96" s="59" t="s">
        <v>471</v>
      </c>
      <c r="F96" s="59" t="s">
        <v>177</v>
      </c>
      <c r="G96" s="59"/>
      <c r="H96" s="60" t="s">
        <v>472</v>
      </c>
      <c r="I96" s="55" t="s">
        <v>473</v>
      </c>
      <c r="J96" s="61" t="str">
        <f t="shared" si="6"/>
        <v>GoldFidelity Printers and Refiners Ltd.</v>
      </c>
      <c r="K96" s="61" t="str">
        <f t="shared" si="7"/>
        <v>GoldFidelity Printers and Refiners Ltd.</v>
      </c>
    </row>
    <row r="97" spans="1:11">
      <c r="A97" s="59" t="s">
        <v>148</v>
      </c>
      <c r="B97" s="59" t="s">
        <v>474</v>
      </c>
      <c r="C97" s="59" t="s">
        <v>339</v>
      </c>
      <c r="D97" s="59" t="s">
        <v>340</v>
      </c>
      <c r="E97" s="59" t="s">
        <v>341</v>
      </c>
      <c r="F97" s="59" t="s">
        <v>177</v>
      </c>
      <c r="G97" s="59"/>
      <c r="H97" s="60" t="s">
        <v>342</v>
      </c>
      <c r="I97" s="55" t="s">
        <v>343</v>
      </c>
      <c r="J97" s="61" t="str">
        <f t="shared" si="6"/>
        <v>GoldFilial Affinazhnyy Zavod Oao Kyrgyzaltyn</v>
      </c>
      <c r="K97" s="61" t="str">
        <f t="shared" si="7"/>
        <v>GoldFilial Affinazhnyy Zavod Oao Kyrgyzaltyn</v>
      </c>
    </row>
    <row r="98" spans="1:11">
      <c r="A98" s="59" t="s">
        <v>148</v>
      </c>
      <c r="B98" s="59" t="s">
        <v>475</v>
      </c>
      <c r="C98" s="59" t="s">
        <v>476</v>
      </c>
      <c r="D98" s="59" t="s">
        <v>439</v>
      </c>
      <c r="E98" s="59" t="s">
        <v>477</v>
      </c>
      <c r="F98" s="59" t="s">
        <v>177</v>
      </c>
      <c r="G98" s="59"/>
      <c r="H98" s="60" t="s">
        <v>478</v>
      </c>
      <c r="I98" s="55" t="s">
        <v>479</v>
      </c>
      <c r="J98" s="61" t="str">
        <f t="shared" si="6"/>
        <v>GoldFSE Novosibirsk Refinery</v>
      </c>
      <c r="K98" s="61" t="str">
        <f t="shared" si="7"/>
        <v>GoldFSE Novosibirsk Refinery</v>
      </c>
    </row>
    <row r="99" spans="1:11">
      <c r="A99" s="59" t="s">
        <v>148</v>
      </c>
      <c r="B99" s="59" t="s">
        <v>480</v>
      </c>
      <c r="C99" s="59" t="s">
        <v>480</v>
      </c>
      <c r="D99" s="59" t="s">
        <v>224</v>
      </c>
      <c r="E99" s="59" t="s">
        <v>481</v>
      </c>
      <c r="F99" s="59" t="s">
        <v>177</v>
      </c>
      <c r="G99" s="59"/>
      <c r="H99" s="60" t="s">
        <v>482</v>
      </c>
      <c r="I99" s="55" t="s">
        <v>483</v>
      </c>
      <c r="J99" s="61" t="str">
        <f t="shared" si="6"/>
        <v>GoldFujairah Gold FZC</v>
      </c>
      <c r="K99" s="61" t="str">
        <f t="shared" si="7"/>
        <v>GoldFujairah Gold FZC</v>
      </c>
    </row>
    <row r="100" spans="1:11">
      <c r="A100" s="59" t="s">
        <v>148</v>
      </c>
      <c r="B100" s="59" t="s">
        <v>484</v>
      </c>
      <c r="C100" s="59" t="s">
        <v>480</v>
      </c>
      <c r="D100" s="59" t="s">
        <v>224</v>
      </c>
      <c r="E100" s="59" t="s">
        <v>481</v>
      </c>
      <c r="F100" s="59" t="s">
        <v>177</v>
      </c>
      <c r="G100" s="59"/>
      <c r="H100" s="60" t="s">
        <v>482</v>
      </c>
      <c r="I100" s="55" t="s">
        <v>483</v>
      </c>
      <c r="J100" s="61" t="str">
        <f t="shared" si="6"/>
        <v>GoldFujhara Refinery</v>
      </c>
      <c r="K100" s="61" t="str">
        <f t="shared" si="7"/>
        <v>GoldFujhara Refinery</v>
      </c>
    </row>
    <row r="101" spans="1:11">
      <c r="A101" s="59" t="s">
        <v>148</v>
      </c>
      <c r="B101" s="59" t="s">
        <v>485</v>
      </c>
      <c r="C101" s="59" t="s">
        <v>486</v>
      </c>
      <c r="D101" s="59" t="s">
        <v>257</v>
      </c>
      <c r="E101" s="59" t="s">
        <v>487</v>
      </c>
      <c r="F101" s="59" t="s">
        <v>177</v>
      </c>
      <c r="G101" s="59"/>
      <c r="H101" s="60" t="s">
        <v>488</v>
      </c>
      <c r="I101" s="55" t="s">
        <v>489</v>
      </c>
      <c r="J101" s="61" t="str">
        <f t="shared" si="6"/>
        <v>GoldFujian Zijin mining stock company gold smelter</v>
      </c>
      <c r="K101" s="61" t="str">
        <f t="shared" si="7"/>
        <v>GoldFujian Zijin mining stock company gold smelter</v>
      </c>
    </row>
    <row r="102" spans="1:11">
      <c r="A102" s="59" t="s">
        <v>148</v>
      </c>
      <c r="B102" s="59" t="s">
        <v>490</v>
      </c>
      <c r="C102" s="59" t="s">
        <v>490</v>
      </c>
      <c r="D102" s="59" t="s">
        <v>491</v>
      </c>
      <c r="E102" s="59" t="s">
        <v>492</v>
      </c>
      <c r="F102" s="59" t="s">
        <v>177</v>
      </c>
      <c r="G102" s="59"/>
      <c r="H102" s="60" t="s">
        <v>493</v>
      </c>
      <c r="I102" s="55" t="s">
        <v>494</v>
      </c>
      <c r="J102" s="61" t="str">
        <f t="shared" si="6"/>
        <v>GoldGasabo Gold Refinery Ltd</v>
      </c>
      <c r="K102" s="61" t="str">
        <f t="shared" si="7"/>
        <v>GoldGasabo Gold Refinery Ltd</v>
      </c>
    </row>
    <row r="103" spans="1:11">
      <c r="A103" s="59" t="s">
        <v>148</v>
      </c>
      <c r="B103" s="59" t="s">
        <v>495</v>
      </c>
      <c r="C103" s="59" t="s">
        <v>495</v>
      </c>
      <c r="D103" s="59" t="s">
        <v>496</v>
      </c>
      <c r="E103" s="59" t="s">
        <v>497</v>
      </c>
      <c r="F103" s="59" t="s">
        <v>177</v>
      </c>
      <c r="G103" s="59"/>
      <c r="H103" s="60" t="s">
        <v>498</v>
      </c>
      <c r="I103" s="55" t="s">
        <v>499</v>
      </c>
      <c r="J103" s="61" t="str">
        <f t="shared" si="6"/>
        <v>GoldGG Refinery Ltd.</v>
      </c>
      <c r="K103" s="61" t="str">
        <f t="shared" si="7"/>
        <v>GoldGG Refinery Ltd.</v>
      </c>
    </row>
    <row r="104" spans="1:11">
      <c r="A104" s="59" t="s">
        <v>148</v>
      </c>
      <c r="B104" s="59" t="s">
        <v>500</v>
      </c>
      <c r="C104" s="59" t="s">
        <v>500</v>
      </c>
      <c r="D104" s="59" t="s">
        <v>292</v>
      </c>
      <c r="E104" s="59" t="s">
        <v>501</v>
      </c>
      <c r="F104" s="59" t="s">
        <v>177</v>
      </c>
      <c r="G104" s="59"/>
      <c r="H104" s="60" t="s">
        <v>502</v>
      </c>
      <c r="I104" s="55" t="s">
        <v>503</v>
      </c>
      <c r="J104" s="61" t="str">
        <f t="shared" si="6"/>
        <v>GoldGGC Gujrat Gold Centre Pvt. Ltd.</v>
      </c>
      <c r="K104" s="61" t="str">
        <f t="shared" si="7"/>
        <v>GoldGGC Gujrat Gold Centre Pvt. Ltd.</v>
      </c>
    </row>
    <row r="105" spans="1:11">
      <c r="A105" s="59" t="s">
        <v>148</v>
      </c>
      <c r="B105" s="59" t="s">
        <v>353</v>
      </c>
      <c r="C105" s="59" t="s">
        <v>353</v>
      </c>
      <c r="D105" s="59" t="s">
        <v>274</v>
      </c>
      <c r="E105" s="59" t="s">
        <v>354</v>
      </c>
      <c r="F105" s="59" t="s">
        <v>177</v>
      </c>
      <c r="G105" s="59"/>
      <c r="H105" s="60" t="s">
        <v>355</v>
      </c>
      <c r="I105" s="55" t="s">
        <v>356</v>
      </c>
      <c r="J105" s="61" t="str">
        <f t="shared" si="6"/>
        <v>GoldGlencore Canada Corporation - CCR Refinery</v>
      </c>
      <c r="K105" s="61" t="str">
        <f t="shared" si="7"/>
        <v>GoldGlencore Canada Corporation - CCR Refinery</v>
      </c>
    </row>
    <row r="106" spans="1:11">
      <c r="A106" s="59" t="s">
        <v>148</v>
      </c>
      <c r="B106" s="59" t="s">
        <v>504</v>
      </c>
      <c r="C106" s="59" t="s">
        <v>504</v>
      </c>
      <c r="D106" s="59" t="s">
        <v>505</v>
      </c>
      <c r="E106" s="59" t="s">
        <v>506</v>
      </c>
      <c r="F106" s="59" t="s">
        <v>177</v>
      </c>
      <c r="G106" s="59"/>
      <c r="H106" s="60" t="s">
        <v>507</v>
      </c>
      <c r="I106" s="55" t="s">
        <v>508</v>
      </c>
      <c r="J106" s="61" t="str">
        <f t="shared" si="6"/>
        <v>GoldGlencore Nikkelverk AS</v>
      </c>
      <c r="K106" s="61" t="str">
        <f t="shared" si="7"/>
        <v>GoldGlencore Nikkelverk AS</v>
      </c>
    </row>
    <row r="107" spans="1:11">
      <c r="A107" s="59" t="s">
        <v>148</v>
      </c>
      <c r="B107" s="59" t="s">
        <v>297</v>
      </c>
      <c r="C107" s="59" t="s">
        <v>297</v>
      </c>
      <c r="D107" s="59" t="s">
        <v>298</v>
      </c>
      <c r="E107" s="59" t="s">
        <v>299</v>
      </c>
      <c r="F107" s="59" t="s">
        <v>177</v>
      </c>
      <c r="G107" s="59"/>
      <c r="H107" s="60" t="s">
        <v>300</v>
      </c>
      <c r="I107" s="55" t="s">
        <v>301</v>
      </c>
      <c r="J107" s="61" t="str">
        <f t="shared" si="6"/>
        <v>GoldGold by Gold Colombia</v>
      </c>
      <c r="K107" s="61" t="str">
        <f t="shared" si="7"/>
        <v>GoldGold by Gold Colombia</v>
      </c>
    </row>
    <row r="108" spans="1:11">
      <c r="A108" s="59" t="s">
        <v>148</v>
      </c>
      <c r="B108" s="59" t="s">
        <v>509</v>
      </c>
      <c r="C108" s="59" t="s">
        <v>509</v>
      </c>
      <c r="D108" s="59" t="s">
        <v>510</v>
      </c>
      <c r="E108" s="59" t="s">
        <v>511</v>
      </c>
      <c r="F108" s="59" t="s">
        <v>177</v>
      </c>
      <c r="G108" s="59"/>
      <c r="H108" s="60" t="s">
        <v>512</v>
      </c>
      <c r="I108" s="55" t="s">
        <v>513</v>
      </c>
      <c r="J108" s="61" t="str">
        <f t="shared" si="6"/>
        <v>GoldGold Coast Refinery</v>
      </c>
      <c r="K108" s="61" t="str">
        <f t="shared" si="7"/>
        <v>GoldGold Coast Refinery</v>
      </c>
    </row>
    <row r="109" spans="1:11">
      <c r="A109" s="59" t="s">
        <v>148</v>
      </c>
      <c r="B109" s="59" t="s">
        <v>205</v>
      </c>
      <c r="C109" s="59" t="s">
        <v>205</v>
      </c>
      <c r="D109" s="59" t="s">
        <v>181</v>
      </c>
      <c r="E109" s="59" t="s">
        <v>206</v>
      </c>
      <c r="F109" s="59" t="s">
        <v>177</v>
      </c>
      <c r="G109" s="59"/>
      <c r="H109" s="60" t="s">
        <v>207</v>
      </c>
      <c r="I109" s="55" t="s">
        <v>208</v>
      </c>
      <c r="J109" s="61" t="str">
        <f t="shared" si="6"/>
        <v>GoldGold Corporation - The Perth Mint</v>
      </c>
      <c r="K109" s="61" t="str">
        <f t="shared" si="7"/>
        <v>GoldGold Corporation - The Perth Mint</v>
      </c>
    </row>
    <row r="110" spans="1:11">
      <c r="A110" s="59" t="s">
        <v>148</v>
      </c>
      <c r="B110" s="59" t="s">
        <v>514</v>
      </c>
      <c r="C110" s="59" t="s">
        <v>391</v>
      </c>
      <c r="D110" s="59" t="s">
        <v>257</v>
      </c>
      <c r="E110" s="59" t="s">
        <v>392</v>
      </c>
      <c r="F110" s="59" t="s">
        <v>177</v>
      </c>
      <c r="G110" s="59"/>
      <c r="H110" s="60" t="s">
        <v>393</v>
      </c>
      <c r="I110" s="55" t="s">
        <v>394</v>
      </c>
      <c r="J110" s="61" t="str">
        <f t="shared" si="6"/>
        <v>GoldGold Mining in Shandong (Laizhou) Limited Company</v>
      </c>
      <c r="K110" s="61" t="str">
        <f t="shared" si="7"/>
        <v>GoldGold Mining in Shandong (Laizhou) Limited Company</v>
      </c>
    </row>
    <row r="111" spans="1:11">
      <c r="A111" s="59" t="s">
        <v>148</v>
      </c>
      <c r="B111" s="59" t="s">
        <v>515</v>
      </c>
      <c r="C111" s="59" t="s">
        <v>486</v>
      </c>
      <c r="D111" s="59" t="s">
        <v>257</v>
      </c>
      <c r="E111" s="59" t="s">
        <v>487</v>
      </c>
      <c r="F111" s="59" t="s">
        <v>177</v>
      </c>
      <c r="G111" s="59"/>
      <c r="H111" s="60" t="s">
        <v>488</v>
      </c>
      <c r="I111" s="55" t="s">
        <v>489</v>
      </c>
      <c r="J111" s="61" t="str">
        <f t="shared" si="6"/>
        <v>GoldGold Refinery of Zijin Mining Group Co., Ltd.</v>
      </c>
      <c r="K111" s="61" t="str">
        <f t="shared" si="7"/>
        <v>GoldGold Refinery of Zijin Mining Group Co., Ltd.</v>
      </c>
    </row>
    <row r="112" spans="1:11">
      <c r="A112" s="59" t="s">
        <v>148</v>
      </c>
      <c r="B112" s="59" t="s">
        <v>516</v>
      </c>
      <c r="C112" s="59" t="s">
        <v>517</v>
      </c>
      <c r="D112" s="59" t="s">
        <v>257</v>
      </c>
      <c r="E112" s="59" t="s">
        <v>518</v>
      </c>
      <c r="F112" s="59" t="s">
        <v>177</v>
      </c>
      <c r="G112" s="59"/>
      <c r="H112" s="60" t="s">
        <v>519</v>
      </c>
      <c r="I112" s="55" t="s">
        <v>520</v>
      </c>
      <c r="J112" s="61" t="str">
        <f t="shared" si="6"/>
        <v>GoldGreat Wall Precious Metals Co,. LTD.</v>
      </c>
      <c r="K112" s="61" t="str">
        <f t="shared" si="7"/>
        <v>GoldGreat Wall Precious Metals Co,. LTD.</v>
      </c>
    </row>
    <row r="113" spans="1:11">
      <c r="A113" s="59" t="s">
        <v>148</v>
      </c>
      <c r="B113" s="59" t="s">
        <v>517</v>
      </c>
      <c r="C113" s="59" t="s">
        <v>517</v>
      </c>
      <c r="D113" s="59" t="s">
        <v>257</v>
      </c>
      <c r="E113" s="59" t="s">
        <v>518</v>
      </c>
      <c r="F113" s="59" t="s">
        <v>177</v>
      </c>
      <c r="G113" s="59"/>
      <c r="H113" s="60" t="s">
        <v>519</v>
      </c>
      <c r="I113" s="55" t="s">
        <v>520</v>
      </c>
      <c r="J113" s="61" t="str">
        <f t="shared" si="6"/>
        <v>GoldGreat Wall Precious Metals Co., Ltd. of CBPM</v>
      </c>
      <c r="K113" s="61" t="str">
        <f t="shared" si="7"/>
        <v>GoldGreat Wall Precious Metals Co., Ltd. of CBPM</v>
      </c>
    </row>
    <row r="114" spans="1:11">
      <c r="A114" s="59" t="s">
        <v>148</v>
      </c>
      <c r="B114" s="59" t="s">
        <v>521</v>
      </c>
      <c r="C114" s="59" t="s">
        <v>500</v>
      </c>
      <c r="D114" s="59" t="s">
        <v>292</v>
      </c>
      <c r="E114" s="59" t="s">
        <v>501</v>
      </c>
      <c r="F114" s="59" t="s">
        <v>177</v>
      </c>
      <c r="G114" s="59"/>
      <c r="H114" s="60" t="s">
        <v>502</v>
      </c>
      <c r="I114" s="55" t="s">
        <v>503</v>
      </c>
      <c r="J114" s="61" t="str">
        <f t="shared" si="6"/>
        <v>GoldGujarat Gold Centre</v>
      </c>
      <c r="K114" s="61" t="str">
        <f t="shared" si="7"/>
        <v>GoldGujarat Gold Centre</v>
      </c>
    </row>
    <row r="115" spans="1:11">
      <c r="A115" s="59" t="s">
        <v>148</v>
      </c>
      <c r="B115" s="59" t="s">
        <v>522</v>
      </c>
      <c r="C115" s="59" t="s">
        <v>522</v>
      </c>
      <c r="D115" s="59" t="s">
        <v>257</v>
      </c>
      <c r="E115" s="59" t="s">
        <v>523</v>
      </c>
      <c r="F115" s="59" t="s">
        <v>177</v>
      </c>
      <c r="G115" s="59"/>
      <c r="H115" s="60" t="s">
        <v>524</v>
      </c>
      <c r="I115" s="55" t="s">
        <v>525</v>
      </c>
      <c r="J115" s="61" t="str">
        <f t="shared" si="6"/>
        <v>GoldHangzhou Fuchunjiang Smelting Co., Ltd.</v>
      </c>
      <c r="K115" s="61" t="str">
        <f t="shared" si="7"/>
        <v>GoldHangzhou Fuchunjiang Smelting Co., Ltd.</v>
      </c>
    </row>
    <row r="116" spans="1:11">
      <c r="A116" s="59" t="s">
        <v>148</v>
      </c>
      <c r="B116" s="59" t="s">
        <v>526</v>
      </c>
      <c r="C116" s="59" t="s">
        <v>527</v>
      </c>
      <c r="D116" s="59" t="s">
        <v>415</v>
      </c>
      <c r="E116" s="59" t="s">
        <v>528</v>
      </c>
      <c r="F116" s="59" t="s">
        <v>177</v>
      </c>
      <c r="G116" s="59"/>
      <c r="H116" s="60" t="s">
        <v>529</v>
      </c>
      <c r="I116" s="55" t="s">
        <v>530</v>
      </c>
      <c r="J116" s="61" t="str">
        <f t="shared" si="6"/>
        <v>GoldHeeSung Metal Ltd.</v>
      </c>
      <c r="K116" s="61" t="str">
        <f t="shared" si="7"/>
        <v>GoldHeeSung Metal Ltd.</v>
      </c>
    </row>
    <row r="117" spans="1:11">
      <c r="A117" s="59" t="s">
        <v>148</v>
      </c>
      <c r="B117" s="59" t="s">
        <v>531</v>
      </c>
      <c r="C117" s="59" t="s">
        <v>531</v>
      </c>
      <c r="D117" s="59" t="s">
        <v>200</v>
      </c>
      <c r="E117" s="59" t="s">
        <v>532</v>
      </c>
      <c r="F117" s="59" t="s">
        <v>177</v>
      </c>
      <c r="G117" s="59"/>
      <c r="H117" s="60" t="s">
        <v>202</v>
      </c>
      <c r="I117" s="55" t="s">
        <v>203</v>
      </c>
      <c r="J117" s="61" t="str">
        <f t="shared" si="6"/>
        <v>GoldHeimerle + Meule GmbH</v>
      </c>
      <c r="K117" s="61" t="str">
        <f t="shared" si="7"/>
        <v>GoldHeimerle + Meule GmbH</v>
      </c>
    </row>
    <row r="118" spans="1:11">
      <c r="A118" s="59" t="s">
        <v>148</v>
      </c>
      <c r="B118" s="59" t="s">
        <v>533</v>
      </c>
      <c r="C118" s="59" t="s">
        <v>386</v>
      </c>
      <c r="D118" s="59" t="s">
        <v>257</v>
      </c>
      <c r="E118" s="59" t="s">
        <v>387</v>
      </c>
      <c r="F118" s="59" t="s">
        <v>177</v>
      </c>
      <c r="G118" s="59"/>
      <c r="H118" s="60" t="s">
        <v>388</v>
      </c>
      <c r="I118" s="55" t="s">
        <v>389</v>
      </c>
      <c r="J118" s="61" t="str">
        <f t="shared" si="6"/>
        <v>GoldHenan Zhongyuan Gold Refinery Co., Ltd.</v>
      </c>
      <c r="K118" s="61" t="str">
        <f t="shared" si="7"/>
        <v>GoldHenan Zhongyuan Gold Refinery Co., Ltd.</v>
      </c>
    </row>
    <row r="119" spans="1:11">
      <c r="A119" s="59" t="s">
        <v>148</v>
      </c>
      <c r="B119" s="59" t="s">
        <v>534</v>
      </c>
      <c r="C119" s="59" t="s">
        <v>386</v>
      </c>
      <c r="D119" s="59" t="s">
        <v>257</v>
      </c>
      <c r="E119" s="59" t="s">
        <v>387</v>
      </c>
      <c r="F119" s="59" t="s">
        <v>177</v>
      </c>
      <c r="G119" s="59"/>
      <c r="H119" s="60" t="s">
        <v>388</v>
      </c>
      <c r="I119" s="55" t="s">
        <v>389</v>
      </c>
      <c r="J119" s="61" t="str">
        <f t="shared" si="6"/>
        <v>GoldHenan Zhongyuan Gold Smelter of Zhongjin Gold Co. Ltd.</v>
      </c>
      <c r="K119" s="61" t="str">
        <f t="shared" si="7"/>
        <v>GoldHenan Zhongyuan Gold Smelter of Zhongjin Gold Co. Ltd.</v>
      </c>
    </row>
    <row r="120" spans="1:11">
      <c r="A120" s="59" t="s">
        <v>148</v>
      </c>
      <c r="B120" s="59" t="s">
        <v>535</v>
      </c>
      <c r="C120" s="59" t="s">
        <v>386</v>
      </c>
      <c r="D120" s="59" t="s">
        <v>257</v>
      </c>
      <c r="E120" s="59" t="s">
        <v>387</v>
      </c>
      <c r="F120" s="59" t="s">
        <v>177</v>
      </c>
      <c r="G120" s="59"/>
      <c r="H120" s="60" t="s">
        <v>388</v>
      </c>
      <c r="I120" s="55" t="s">
        <v>389</v>
      </c>
      <c r="J120" s="61" t="str">
        <f t="shared" si="6"/>
        <v>GoldHenan Zhongyuan Gold Smelter of Zhongjin Gold Corporation Limited</v>
      </c>
      <c r="K120" s="61" t="str">
        <f t="shared" si="7"/>
        <v>GoldHenan Zhongyuan Gold Smelter of Zhongjin Gold Corporation Limited</v>
      </c>
    </row>
    <row r="121" spans="1:11">
      <c r="A121" s="59" t="s">
        <v>148</v>
      </c>
      <c r="B121" s="59" t="s">
        <v>536</v>
      </c>
      <c r="C121" s="59" t="s">
        <v>536</v>
      </c>
      <c r="D121" s="59" t="s">
        <v>200</v>
      </c>
      <c r="E121" s="59" t="s">
        <v>537</v>
      </c>
      <c r="F121" s="59" t="s">
        <v>177</v>
      </c>
      <c r="G121" s="59"/>
      <c r="H121" s="60" t="s">
        <v>538</v>
      </c>
      <c r="I121" s="55" t="s">
        <v>539</v>
      </c>
      <c r="J121" s="61" t="str">
        <f t="shared" si="6"/>
        <v>GoldHeraeus Germany GmbH Co. KG</v>
      </c>
      <c r="K121" s="61" t="str">
        <f t="shared" si="7"/>
        <v>GoldHeraeus Germany GmbH Co. KG</v>
      </c>
    </row>
    <row r="122" spans="1:11">
      <c r="A122" s="59" t="s">
        <v>148</v>
      </c>
      <c r="B122" s="59" t="s">
        <v>540</v>
      </c>
      <c r="C122" s="59" t="s">
        <v>541</v>
      </c>
      <c r="D122" s="59" t="s">
        <v>257</v>
      </c>
      <c r="E122" s="59" t="s">
        <v>542</v>
      </c>
      <c r="F122" s="59" t="s">
        <v>177</v>
      </c>
      <c r="G122" s="59"/>
      <c r="H122" s="60" t="s">
        <v>543</v>
      </c>
      <c r="I122" s="55" t="s">
        <v>544</v>
      </c>
      <c r="J122" s="61" t="str">
        <f t="shared" si="6"/>
        <v>GoldHeraeus Ltd. Hong Kong</v>
      </c>
      <c r="K122" s="61" t="str">
        <f t="shared" si="7"/>
        <v>GoldHeraeus Ltd. Hong Kong</v>
      </c>
    </row>
    <row r="123" spans="1:11">
      <c r="A123" s="59" t="s">
        <v>148</v>
      </c>
      <c r="B123" s="59" t="s">
        <v>541</v>
      </c>
      <c r="C123" s="59" t="s">
        <v>541</v>
      </c>
      <c r="D123" s="59" t="s">
        <v>257</v>
      </c>
      <c r="E123" s="59" t="s">
        <v>542</v>
      </c>
      <c r="F123" s="59" t="s">
        <v>177</v>
      </c>
      <c r="G123" s="59"/>
      <c r="H123" s="60" t="s">
        <v>543</v>
      </c>
      <c r="I123" s="55" t="s">
        <v>544</v>
      </c>
      <c r="J123" s="61" t="str">
        <f t="shared" si="6"/>
        <v>GoldHeraeus Metals Hong Kong Ltd.</v>
      </c>
      <c r="K123" s="61" t="str">
        <f t="shared" si="7"/>
        <v>GoldHeraeus Metals Hong Kong Ltd.</v>
      </c>
    </row>
    <row r="124" spans="1:11">
      <c r="A124" s="59" t="s">
        <v>148</v>
      </c>
      <c r="B124" s="59" t="s">
        <v>545</v>
      </c>
      <c r="C124" s="59" t="s">
        <v>536</v>
      </c>
      <c r="D124" s="59" t="s">
        <v>200</v>
      </c>
      <c r="E124" s="59" t="s">
        <v>537</v>
      </c>
      <c r="F124" s="59" t="s">
        <v>177</v>
      </c>
      <c r="G124" s="59"/>
      <c r="H124" s="60" t="s">
        <v>538</v>
      </c>
      <c r="I124" s="55" t="s">
        <v>539</v>
      </c>
      <c r="J124" s="61" t="str">
        <f t="shared" si="6"/>
        <v>GoldHeraeus Precious Metals GmbH &amp; Co. KG</v>
      </c>
      <c r="K124" s="61" t="str">
        <f t="shared" si="7"/>
        <v>GoldHeraeus Precious Metals GmbH &amp; Co. KG</v>
      </c>
    </row>
    <row r="125" spans="1:11">
      <c r="A125" s="59" t="s">
        <v>148</v>
      </c>
      <c r="B125" s="59" t="s">
        <v>546</v>
      </c>
      <c r="C125" s="59" t="s">
        <v>546</v>
      </c>
      <c r="D125" s="59" t="s">
        <v>257</v>
      </c>
      <c r="E125" s="59" t="s">
        <v>547</v>
      </c>
      <c r="F125" s="59" t="s">
        <v>177</v>
      </c>
      <c r="G125" s="59"/>
      <c r="H125" s="60" t="s">
        <v>548</v>
      </c>
      <c r="I125" s="55" t="s">
        <v>549</v>
      </c>
      <c r="J125" s="61" t="str">
        <f t="shared" si="6"/>
        <v>GoldHunan Chenzhou Mining Co., Ltd.</v>
      </c>
      <c r="K125" s="61" t="str">
        <f t="shared" si="7"/>
        <v>GoldHunan Chenzhou Mining Co., Ltd.</v>
      </c>
    </row>
    <row r="126" spans="1:11">
      <c r="A126" s="59" t="s">
        <v>148</v>
      </c>
      <c r="B126" s="59" t="s">
        <v>550</v>
      </c>
      <c r="C126" s="59" t="s">
        <v>546</v>
      </c>
      <c r="D126" s="59" t="s">
        <v>257</v>
      </c>
      <c r="E126" s="59" t="s">
        <v>547</v>
      </c>
      <c r="F126" s="59" t="s">
        <v>177</v>
      </c>
      <c r="G126" s="59"/>
      <c r="H126" s="60" t="s">
        <v>548</v>
      </c>
      <c r="I126" s="55" t="s">
        <v>549</v>
      </c>
      <c r="J126" s="61" t="str">
        <f t="shared" si="6"/>
        <v>GoldHunan Chenzhou Mining Group Co., Ltd.</v>
      </c>
      <c r="K126" s="61" t="str">
        <f t="shared" si="7"/>
        <v>GoldHunan Chenzhou Mining Group Co., Ltd.</v>
      </c>
    </row>
    <row r="127" spans="1:11">
      <c r="A127" s="59" t="s">
        <v>148</v>
      </c>
      <c r="B127" s="59" t="s">
        <v>551</v>
      </c>
      <c r="C127" s="59" t="s">
        <v>546</v>
      </c>
      <c r="D127" s="59" t="s">
        <v>257</v>
      </c>
      <c r="E127" s="59" t="s">
        <v>547</v>
      </c>
      <c r="F127" s="59" t="s">
        <v>177</v>
      </c>
      <c r="G127" s="59"/>
      <c r="H127" s="60" t="s">
        <v>548</v>
      </c>
      <c r="I127" s="55" t="s">
        <v>549</v>
      </c>
      <c r="J127" s="61" t="str">
        <f t="shared" si="6"/>
        <v>GoldHunan Chenzhou Mining Industry Co. Ltd.</v>
      </c>
      <c r="K127" s="61" t="str">
        <f t="shared" si="7"/>
        <v>GoldHunan Chenzhou Mining Industry Co. Ltd.</v>
      </c>
    </row>
    <row r="128" spans="1:11">
      <c r="A128" s="59" t="s">
        <v>148</v>
      </c>
      <c r="B128" s="59" t="s">
        <v>552</v>
      </c>
      <c r="C128" s="59" t="s">
        <v>552</v>
      </c>
      <c r="D128" s="59" t="s">
        <v>257</v>
      </c>
      <c r="E128" s="59" t="s">
        <v>553</v>
      </c>
      <c r="F128" s="59" t="s">
        <v>177</v>
      </c>
      <c r="G128" s="59"/>
      <c r="H128" s="60" t="s">
        <v>554</v>
      </c>
      <c r="I128" s="55" t="s">
        <v>549</v>
      </c>
      <c r="J128" s="61" t="str">
        <f t="shared" si="6"/>
        <v>GoldHunan Guiyang yinxing Nonferrous Smelting Co., Ltd.</v>
      </c>
      <c r="K128" s="61" t="str">
        <f t="shared" si="7"/>
        <v>GoldHunan Guiyang yinxing Nonferrous Smelting Co., Ltd.</v>
      </c>
    </row>
    <row r="129" spans="1:11">
      <c r="A129" s="59" t="s">
        <v>148</v>
      </c>
      <c r="B129" s="59" t="s">
        <v>555</v>
      </c>
      <c r="C129" s="59" t="s">
        <v>552</v>
      </c>
      <c r="D129" s="59" t="s">
        <v>257</v>
      </c>
      <c r="E129" s="59" t="s">
        <v>553</v>
      </c>
      <c r="F129" s="59" t="s">
        <v>177</v>
      </c>
      <c r="G129" s="59"/>
      <c r="H129" s="60" t="s">
        <v>554</v>
      </c>
      <c r="I129" s="55" t="s">
        <v>549</v>
      </c>
      <c r="J129" s="61" t="str">
        <f t="shared" si="6"/>
        <v>GoldHunan Yu Teng Non-Ferrous Metals Co., Ltd.</v>
      </c>
      <c r="K129" s="61" t="str">
        <f t="shared" si="7"/>
        <v>GoldHunan Yu Teng Non-Ferrous Metals Co., Ltd.</v>
      </c>
    </row>
    <row r="130" spans="1:11">
      <c r="A130" s="59" t="s">
        <v>148</v>
      </c>
      <c r="B130" s="59" t="s">
        <v>556</v>
      </c>
      <c r="C130" s="59" t="s">
        <v>556</v>
      </c>
      <c r="D130" s="59" t="s">
        <v>415</v>
      </c>
      <c r="E130" s="59" t="s">
        <v>557</v>
      </c>
      <c r="F130" s="59" t="s">
        <v>177</v>
      </c>
      <c r="G130" s="59"/>
      <c r="H130" s="60" t="s">
        <v>558</v>
      </c>
      <c r="I130" s="55" t="s">
        <v>418</v>
      </c>
      <c r="J130" s="61" t="str">
        <f t="shared" si="6"/>
        <v>GoldHwaSeong CJ CO., LTD.</v>
      </c>
      <c r="K130" s="61" t="str">
        <f t="shared" si="7"/>
        <v>GoldHwaSeong CJ CO., LTD.</v>
      </c>
    </row>
    <row r="131" spans="1:11">
      <c r="A131" s="59" t="s">
        <v>148</v>
      </c>
      <c r="B131" s="59" t="s">
        <v>559</v>
      </c>
      <c r="C131" s="59" t="s">
        <v>559</v>
      </c>
      <c r="D131" s="59" t="s">
        <v>303</v>
      </c>
      <c r="E131" s="59" t="s">
        <v>560</v>
      </c>
      <c r="F131" s="59" t="s">
        <v>177</v>
      </c>
      <c r="G131" s="59"/>
      <c r="H131" s="60" t="s">
        <v>561</v>
      </c>
      <c r="I131" s="55" t="s">
        <v>306</v>
      </c>
      <c r="J131" s="61" t="str">
        <f t="shared" si="6"/>
        <v>GoldImpala Platinum - Platinum Metals Refinery (PMR)</v>
      </c>
      <c r="K131" s="61" t="str">
        <f t="shared" si="7"/>
        <v>GoldImpala Platinum - Platinum Metals Refinery (PMR)</v>
      </c>
    </row>
    <row r="132" spans="1:11">
      <c r="A132" s="59" t="s">
        <v>148</v>
      </c>
      <c r="B132" s="59" t="s">
        <v>562</v>
      </c>
      <c r="C132" s="59" t="s">
        <v>559</v>
      </c>
      <c r="D132" s="59" t="s">
        <v>303</v>
      </c>
      <c r="E132" s="59" t="s">
        <v>560</v>
      </c>
      <c r="F132" s="59" t="s">
        <v>177</v>
      </c>
      <c r="G132" s="59"/>
      <c r="H132" s="60" t="s">
        <v>561</v>
      </c>
      <c r="I132" s="55" t="s">
        <v>306</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563</v>
      </c>
      <c r="C133" s="59" t="s">
        <v>370</v>
      </c>
      <c r="D133" s="59" t="s">
        <v>264</v>
      </c>
      <c r="E133" s="59" t="s">
        <v>371</v>
      </c>
      <c r="F133" s="59" t="s">
        <v>177</v>
      </c>
      <c r="G133" s="59"/>
      <c r="H133" s="60" t="s">
        <v>372</v>
      </c>
      <c r="I133" s="55" t="s">
        <v>373</v>
      </c>
      <c r="J133" s="61" t="str">
        <f t="shared" si="8"/>
        <v>GoldInca One (Chala One Plant)</v>
      </c>
      <c r="K133" s="61" t="str">
        <f t="shared" si="9"/>
        <v>GoldInca One (Chala One Plant)</v>
      </c>
    </row>
    <row r="134" spans="1:11">
      <c r="A134" s="59" t="s">
        <v>148</v>
      </c>
      <c r="B134" s="59" t="s">
        <v>564</v>
      </c>
      <c r="C134" s="59" t="s">
        <v>449</v>
      </c>
      <c r="D134" s="59" t="s">
        <v>264</v>
      </c>
      <c r="E134" s="59" t="s">
        <v>450</v>
      </c>
      <c r="F134" s="59" t="s">
        <v>177</v>
      </c>
      <c r="G134" s="59"/>
      <c r="H134" s="60" t="s">
        <v>451</v>
      </c>
      <c r="I134" s="55" t="s">
        <v>373</v>
      </c>
      <c r="J134" s="61" t="str">
        <f t="shared" si="8"/>
        <v>GoldInca One (Koricancha Plant)</v>
      </c>
      <c r="K134" s="61" t="str">
        <f t="shared" si="9"/>
        <v>GoldInca One (Koricancha Plant)</v>
      </c>
    </row>
    <row r="135" spans="1:11">
      <c r="A135" s="59" t="s">
        <v>148</v>
      </c>
      <c r="B135" s="59" t="s">
        <v>565</v>
      </c>
      <c r="C135" s="59" t="s">
        <v>565</v>
      </c>
      <c r="D135" s="59" t="s">
        <v>257</v>
      </c>
      <c r="E135" s="59" t="s">
        <v>566</v>
      </c>
      <c r="F135" s="59" t="s">
        <v>177</v>
      </c>
      <c r="G135" s="59"/>
      <c r="H135" s="60" t="s">
        <v>567</v>
      </c>
      <c r="I135" s="55" t="s">
        <v>568</v>
      </c>
      <c r="J135" s="61" t="str">
        <f t="shared" si="8"/>
        <v>GoldInner Mongolia Qiankun Gold and Silver Refinery Share Co., Ltd.</v>
      </c>
      <c r="K135" s="61" t="str">
        <f t="shared" si="9"/>
        <v>GoldInner Mongolia Qiankun Gold and Silver Refinery Share Co., Ltd.</v>
      </c>
    </row>
    <row r="136" spans="1:11">
      <c r="A136" s="59" t="s">
        <v>148</v>
      </c>
      <c r="B136" s="59" t="s">
        <v>569</v>
      </c>
      <c r="C136" s="59" t="s">
        <v>569</v>
      </c>
      <c r="D136" s="59" t="s">
        <v>224</v>
      </c>
      <c r="E136" s="59" t="s">
        <v>570</v>
      </c>
      <c r="F136" s="59" t="s">
        <v>177</v>
      </c>
      <c r="G136" s="59"/>
      <c r="H136" s="60" t="s">
        <v>226</v>
      </c>
      <c r="I136" s="55" t="s">
        <v>227</v>
      </c>
      <c r="J136" s="61" t="str">
        <f t="shared" si="8"/>
        <v>GoldInternational Precious Metal Refiners</v>
      </c>
      <c r="K136" s="61" t="str">
        <f t="shared" si="9"/>
        <v>GoldInternational Precious Metal Refiners</v>
      </c>
    </row>
    <row r="137" spans="1:11">
      <c r="A137" s="59" t="s">
        <v>148</v>
      </c>
      <c r="B137" s="59" t="s">
        <v>571</v>
      </c>
      <c r="C137" s="59" t="s">
        <v>571</v>
      </c>
      <c r="D137" s="59" t="s">
        <v>213</v>
      </c>
      <c r="E137" s="59" t="s">
        <v>572</v>
      </c>
      <c r="F137" s="59" t="s">
        <v>177</v>
      </c>
      <c r="G137" s="59"/>
      <c r="H137" s="60" t="s">
        <v>573</v>
      </c>
      <c r="I137" s="55" t="s">
        <v>430</v>
      </c>
      <c r="J137" s="61" t="str">
        <f t="shared" si="8"/>
        <v>GoldIshifuku Metal Industry Co., Ltd.</v>
      </c>
      <c r="K137" s="61" t="str">
        <f t="shared" si="9"/>
        <v>GoldIshifuku Metal Industry Co., Ltd.</v>
      </c>
    </row>
    <row r="138" spans="1:11">
      <c r="A138" s="59" t="s">
        <v>148</v>
      </c>
      <c r="B138" s="59" t="s">
        <v>574</v>
      </c>
      <c r="C138" s="59" t="s">
        <v>574</v>
      </c>
      <c r="D138" s="59" t="s">
        <v>575</v>
      </c>
      <c r="E138" s="59" t="s">
        <v>576</v>
      </c>
      <c r="F138" s="59" t="s">
        <v>177</v>
      </c>
      <c r="G138" s="59"/>
      <c r="H138" s="60" t="s">
        <v>577</v>
      </c>
      <c r="I138" s="55" t="s">
        <v>578</v>
      </c>
      <c r="J138" s="61" t="str">
        <f t="shared" si="8"/>
        <v>GoldIstanbul Gold Refinery</v>
      </c>
      <c r="K138" s="61" t="str">
        <f t="shared" si="9"/>
        <v>GoldIstanbul Gold Refinery</v>
      </c>
    </row>
    <row r="139" spans="1:11">
      <c r="A139" s="59" t="s">
        <v>148</v>
      </c>
      <c r="B139" s="59" t="s">
        <v>579</v>
      </c>
      <c r="C139" s="59" t="s">
        <v>579</v>
      </c>
      <c r="D139" s="59" t="s">
        <v>175</v>
      </c>
      <c r="E139" s="59" t="s">
        <v>580</v>
      </c>
      <c r="F139" s="59" t="s">
        <v>177</v>
      </c>
      <c r="G139" s="59"/>
      <c r="H139" s="60" t="s">
        <v>384</v>
      </c>
      <c r="I139" s="55" t="s">
        <v>581</v>
      </c>
      <c r="J139" s="61" t="str">
        <f t="shared" si="8"/>
        <v>GoldItalpreziosi</v>
      </c>
      <c r="K139" s="61" t="str">
        <f t="shared" si="9"/>
        <v>GoldItalpreziosi</v>
      </c>
    </row>
    <row r="140" spans="1:11">
      <c r="A140" s="59" t="s">
        <v>148</v>
      </c>
      <c r="B140" s="59" t="s">
        <v>582</v>
      </c>
      <c r="C140" s="59" t="s">
        <v>582</v>
      </c>
      <c r="D140" s="59" t="s">
        <v>292</v>
      </c>
      <c r="E140" s="59" t="s">
        <v>583</v>
      </c>
      <c r="F140" s="59" t="s">
        <v>177</v>
      </c>
      <c r="G140" s="59"/>
      <c r="H140" s="60" t="s">
        <v>584</v>
      </c>
      <c r="I140" s="55" t="s">
        <v>585</v>
      </c>
      <c r="J140" s="61" t="str">
        <f t="shared" si="8"/>
        <v>GoldJALAN &amp; Company</v>
      </c>
      <c r="K140" s="61" t="str">
        <f t="shared" si="9"/>
        <v>GoldJALAN &amp; Company</v>
      </c>
    </row>
    <row r="141" spans="1:11">
      <c r="A141" s="59" t="s">
        <v>148</v>
      </c>
      <c r="B141" s="59" t="s">
        <v>586</v>
      </c>
      <c r="C141" s="59" t="s">
        <v>586</v>
      </c>
      <c r="D141" s="59" t="s">
        <v>213</v>
      </c>
      <c r="E141" s="59" t="s">
        <v>587</v>
      </c>
      <c r="F141" s="59" t="s">
        <v>177</v>
      </c>
      <c r="G141" s="59"/>
      <c r="H141" s="60" t="s">
        <v>588</v>
      </c>
      <c r="I141" s="55" t="s">
        <v>588</v>
      </c>
      <c r="J141" s="61" t="str">
        <f t="shared" si="8"/>
        <v>GoldJapan Mint</v>
      </c>
      <c r="K141" s="61" t="str">
        <f t="shared" si="9"/>
        <v>GoldJapan Mint</v>
      </c>
    </row>
    <row r="142" spans="1:11">
      <c r="A142" s="59" t="s">
        <v>148</v>
      </c>
      <c r="B142" s="59" t="s">
        <v>589</v>
      </c>
      <c r="C142" s="59" t="s">
        <v>590</v>
      </c>
      <c r="D142" s="59" t="s">
        <v>257</v>
      </c>
      <c r="E142" s="59" t="s">
        <v>591</v>
      </c>
      <c r="F142" s="59" t="s">
        <v>177</v>
      </c>
      <c r="G142" s="59"/>
      <c r="H142" s="60" t="s">
        <v>592</v>
      </c>
      <c r="I142" s="55" t="s">
        <v>593</v>
      </c>
      <c r="J142" s="61" t="str">
        <f t="shared" si="8"/>
        <v>GoldJCC</v>
      </c>
      <c r="K142" s="61" t="str">
        <f t="shared" si="9"/>
        <v>GoldJCC</v>
      </c>
    </row>
    <row r="143" spans="1:11">
      <c r="A143" s="59" t="s">
        <v>148</v>
      </c>
      <c r="B143" s="59" t="s">
        <v>590</v>
      </c>
      <c r="C143" s="59" t="s">
        <v>590</v>
      </c>
      <c r="D143" s="59" t="s">
        <v>257</v>
      </c>
      <c r="E143" s="59" t="s">
        <v>591</v>
      </c>
      <c r="F143" s="59" t="s">
        <v>177</v>
      </c>
      <c r="G143" s="59"/>
      <c r="H143" s="60" t="s">
        <v>592</v>
      </c>
      <c r="I143" s="55" t="s">
        <v>593</v>
      </c>
      <c r="J143" s="61" t="str">
        <f t="shared" si="8"/>
        <v>GoldJiangxi Copper Co., Ltd.</v>
      </c>
      <c r="K143" s="61" t="str">
        <f t="shared" si="9"/>
        <v>GoldJiangxi Copper Co., Ltd.</v>
      </c>
    </row>
    <row r="144" spans="1:11">
      <c r="A144" s="59" t="s">
        <v>148</v>
      </c>
      <c r="B144" s="59" t="s">
        <v>594</v>
      </c>
      <c r="C144" s="59" t="s">
        <v>273</v>
      </c>
      <c r="D144" s="59" t="s">
        <v>274</v>
      </c>
      <c r="E144" s="59" t="s">
        <v>275</v>
      </c>
      <c r="F144" s="59" t="s">
        <v>177</v>
      </c>
      <c r="G144" s="59"/>
      <c r="H144" s="60" t="s">
        <v>276</v>
      </c>
      <c r="I144" s="55" t="s">
        <v>277</v>
      </c>
      <c r="J144" s="61" t="str">
        <f t="shared" si="8"/>
        <v>GoldJohnson Matthey Canada</v>
      </c>
      <c r="K144" s="61" t="str">
        <f t="shared" si="9"/>
        <v>GoldJohnson Matthey Canada</v>
      </c>
    </row>
    <row r="145" spans="1:11">
      <c r="A145" s="59" t="s">
        <v>148</v>
      </c>
      <c r="B145" s="59" t="s">
        <v>595</v>
      </c>
      <c r="C145" s="59" t="s">
        <v>278</v>
      </c>
      <c r="D145" s="59" t="s">
        <v>186</v>
      </c>
      <c r="E145" s="59" t="s">
        <v>279</v>
      </c>
      <c r="F145" s="59" t="s">
        <v>177</v>
      </c>
      <c r="G145" s="59"/>
      <c r="H145" s="60" t="s">
        <v>280</v>
      </c>
      <c r="I145" s="55" t="s">
        <v>281</v>
      </c>
      <c r="J145" s="61" t="str">
        <f t="shared" si="8"/>
        <v>GoldJohnson Matthey Inc.</v>
      </c>
      <c r="K145" s="61" t="str">
        <f t="shared" si="9"/>
        <v>GoldJohnson Matthey Inc.</v>
      </c>
    </row>
    <row r="146" spans="1:11">
      <c r="A146" s="59" t="s">
        <v>148</v>
      </c>
      <c r="B146" s="59" t="s">
        <v>596</v>
      </c>
      <c r="C146" s="59" t="s">
        <v>278</v>
      </c>
      <c r="D146" s="59" t="s">
        <v>186</v>
      </c>
      <c r="E146" s="59" t="s">
        <v>279</v>
      </c>
      <c r="F146" s="59" t="s">
        <v>177</v>
      </c>
      <c r="G146" s="59"/>
      <c r="H146" s="60" t="s">
        <v>280</v>
      </c>
      <c r="I146" s="55" t="s">
        <v>281</v>
      </c>
      <c r="J146" s="61" t="str">
        <f t="shared" si="8"/>
        <v>GoldJohnson Matthey Inc. (USA)</v>
      </c>
      <c r="K146" s="61" t="str">
        <f t="shared" si="9"/>
        <v>GoldJohnson Matthey Inc. (USA)</v>
      </c>
    </row>
    <row r="147" spans="1:11">
      <c r="A147" s="59" t="s">
        <v>148</v>
      </c>
      <c r="B147" s="59" t="s">
        <v>597</v>
      </c>
      <c r="C147" s="59" t="s">
        <v>273</v>
      </c>
      <c r="D147" s="59" t="s">
        <v>274</v>
      </c>
      <c r="E147" s="59" t="s">
        <v>275</v>
      </c>
      <c r="F147" s="59" t="s">
        <v>177</v>
      </c>
      <c r="G147" s="59"/>
      <c r="H147" s="60" t="s">
        <v>276</v>
      </c>
      <c r="I147" s="55" t="s">
        <v>277</v>
      </c>
      <c r="J147" s="61" t="str">
        <f t="shared" si="8"/>
        <v>GoldJohnson Matthey Limited</v>
      </c>
      <c r="K147" s="61" t="str">
        <f t="shared" si="9"/>
        <v>GoldJohnson Matthey Limited</v>
      </c>
    </row>
    <row r="148" spans="1:11">
      <c r="A148" s="59" t="s">
        <v>148</v>
      </c>
      <c r="B148" s="59" t="s">
        <v>438</v>
      </c>
      <c r="C148" s="59" t="s">
        <v>438</v>
      </c>
      <c r="D148" s="59" t="s">
        <v>439</v>
      </c>
      <c r="E148" s="59" t="s">
        <v>440</v>
      </c>
      <c r="F148" s="59" t="s">
        <v>177</v>
      </c>
      <c r="G148" s="59"/>
      <c r="H148" s="60" t="s">
        <v>441</v>
      </c>
      <c r="I148" s="55" t="s">
        <v>442</v>
      </c>
      <c r="J148" s="61" t="str">
        <f t="shared" si="8"/>
        <v>GoldJSC Ekaterinburg Non-Ferrous Metal Processing Plant</v>
      </c>
      <c r="K148" s="61" t="str">
        <f t="shared" si="9"/>
        <v>GoldJSC Ekaterinburg Non-Ferrous Metal Processing Plant</v>
      </c>
    </row>
    <row r="149" spans="1:11">
      <c r="A149" s="59" t="s">
        <v>148</v>
      </c>
      <c r="B149" s="59" t="s">
        <v>476</v>
      </c>
      <c r="C149" s="59" t="s">
        <v>476</v>
      </c>
      <c r="D149" s="59" t="s">
        <v>439</v>
      </c>
      <c r="E149" s="59" t="s">
        <v>477</v>
      </c>
      <c r="F149" s="59" t="s">
        <v>177</v>
      </c>
      <c r="G149" s="59"/>
      <c r="H149" s="60" t="s">
        <v>478</v>
      </c>
      <c r="I149" s="55" t="s">
        <v>479</v>
      </c>
      <c r="J149" s="61" t="str">
        <f t="shared" si="8"/>
        <v>GoldJSC Novosibirsk Refinery</v>
      </c>
      <c r="K149" s="61" t="str">
        <f t="shared" si="9"/>
        <v>GoldJSC Novosibirsk Refinery</v>
      </c>
    </row>
    <row r="150" spans="1:11">
      <c r="A150" s="59" t="s">
        <v>148</v>
      </c>
      <c r="B150" s="59" t="s">
        <v>598</v>
      </c>
      <c r="C150" s="59" t="s">
        <v>598</v>
      </c>
      <c r="D150" s="59" t="s">
        <v>439</v>
      </c>
      <c r="E150" s="59" t="s">
        <v>599</v>
      </c>
      <c r="F150" s="59" t="s">
        <v>177</v>
      </c>
      <c r="G150" s="59"/>
      <c r="H150" s="60" t="s">
        <v>441</v>
      </c>
      <c r="I150" s="55" t="s">
        <v>442</v>
      </c>
      <c r="J150" s="61" t="str">
        <f t="shared" si="8"/>
        <v>GoldJSC Uralelectromed</v>
      </c>
      <c r="K150" s="61" t="str">
        <f t="shared" si="9"/>
        <v>GoldJSC Uralelectromed</v>
      </c>
    </row>
    <row r="151" spans="1:11">
      <c r="A151" s="59" t="s">
        <v>148</v>
      </c>
      <c r="B151" s="59" t="s">
        <v>600</v>
      </c>
      <c r="C151" s="59" t="s">
        <v>600</v>
      </c>
      <c r="D151" s="59" t="s">
        <v>213</v>
      </c>
      <c r="E151" s="59" t="s">
        <v>601</v>
      </c>
      <c r="F151" s="59" t="s">
        <v>177</v>
      </c>
      <c r="G151" s="59"/>
      <c r="H151" s="60" t="s">
        <v>602</v>
      </c>
      <c r="I151" s="55" t="s">
        <v>216</v>
      </c>
      <c r="J151" s="61" t="str">
        <f t="shared" si="8"/>
        <v>GoldJX Advanced Metals Corporation</v>
      </c>
      <c r="K151" s="61" t="str">
        <f t="shared" si="9"/>
        <v>GoldJX Advanced Metals Corporation</v>
      </c>
    </row>
    <row r="152" spans="1:11">
      <c r="A152" s="59" t="s">
        <v>148</v>
      </c>
      <c r="B152" s="59" t="s">
        <v>603</v>
      </c>
      <c r="C152" s="59" t="s">
        <v>600</v>
      </c>
      <c r="D152" s="59" t="s">
        <v>213</v>
      </c>
      <c r="E152" s="59" t="s">
        <v>601</v>
      </c>
      <c r="F152" s="59" t="s">
        <v>177</v>
      </c>
      <c r="G152" s="59"/>
      <c r="H152" s="60" t="s">
        <v>602</v>
      </c>
      <c r="I152" s="55" t="s">
        <v>216</v>
      </c>
      <c r="J152" s="61" t="str">
        <f t="shared" si="8"/>
        <v>GoldJX Nippon Mining &amp; Metals Co., Ltd.</v>
      </c>
      <c r="K152" s="61" t="str">
        <f t="shared" si="9"/>
        <v>GoldJX Nippon Mining &amp; Metals Co., Ltd.</v>
      </c>
    </row>
    <row r="153" spans="1:11">
      <c r="A153" s="59" t="s">
        <v>148</v>
      </c>
      <c r="B153" s="59" t="s">
        <v>604</v>
      </c>
      <c r="C153" s="59" t="s">
        <v>604</v>
      </c>
      <c r="D153" s="59" t="s">
        <v>505</v>
      </c>
      <c r="E153" s="59" t="s">
        <v>605</v>
      </c>
      <c r="F153" s="59" t="s">
        <v>177</v>
      </c>
      <c r="G153" s="59"/>
      <c r="H153" s="60" t="s">
        <v>606</v>
      </c>
      <c r="I153" s="55" t="s">
        <v>607</v>
      </c>
      <c r="J153" s="61" t="str">
        <f t="shared" si="8"/>
        <v>GoldK.A. Rasmussen</v>
      </c>
      <c r="K153" s="61" t="str">
        <f t="shared" si="9"/>
        <v>GoldK.A. Rasmussen</v>
      </c>
    </row>
    <row r="154" spans="1:11">
      <c r="A154" s="59" t="s">
        <v>148</v>
      </c>
      <c r="B154" s="59" t="s">
        <v>608</v>
      </c>
      <c r="C154" s="59" t="s">
        <v>608</v>
      </c>
      <c r="D154" s="59" t="s">
        <v>609</v>
      </c>
      <c r="E154" s="59" t="s">
        <v>610</v>
      </c>
      <c r="F154" s="59" t="s">
        <v>177</v>
      </c>
      <c r="G154" s="59"/>
      <c r="H154" s="60" t="s">
        <v>611</v>
      </c>
      <c r="I154" s="55" t="s">
        <v>612</v>
      </c>
      <c r="J154" s="61" t="str">
        <f t="shared" si="8"/>
        <v>GoldKazakhmys Smelting LLC</v>
      </c>
      <c r="K154" s="61" t="str">
        <f t="shared" si="9"/>
        <v>GoldKazakhmys Smelting LLC</v>
      </c>
    </row>
    <row r="155" spans="1:11">
      <c r="A155" s="59" t="s">
        <v>148</v>
      </c>
      <c r="B155" s="59" t="s">
        <v>613</v>
      </c>
      <c r="C155" s="59" t="s">
        <v>614</v>
      </c>
      <c r="D155" s="59" t="s">
        <v>609</v>
      </c>
      <c r="E155" s="59" t="s">
        <v>615</v>
      </c>
      <c r="F155" s="59" t="s">
        <v>177</v>
      </c>
      <c r="G155" s="59"/>
      <c r="H155" s="60" t="s">
        <v>616</v>
      </c>
      <c r="I155" s="55" t="s">
        <v>617</v>
      </c>
      <c r="J155" s="61" t="str">
        <f t="shared" si="8"/>
        <v>GoldKazzinc</v>
      </c>
      <c r="K155" s="61" t="str">
        <f t="shared" si="9"/>
        <v>GoldKazzinc</v>
      </c>
    </row>
    <row r="156" spans="1:11">
      <c r="A156" s="59" t="s">
        <v>148</v>
      </c>
      <c r="B156" s="59" t="s">
        <v>614</v>
      </c>
      <c r="C156" s="59" t="s">
        <v>614</v>
      </c>
      <c r="D156" s="59" t="s">
        <v>609</v>
      </c>
      <c r="E156" s="59" t="s">
        <v>615</v>
      </c>
      <c r="F156" s="59" t="s">
        <v>177</v>
      </c>
      <c r="G156" s="59"/>
      <c r="H156" s="60" t="s">
        <v>616</v>
      </c>
      <c r="I156" s="55" t="s">
        <v>617</v>
      </c>
      <c r="J156" s="61" t="str">
        <f t="shared" si="8"/>
        <v>GoldKazzinc Ltd</v>
      </c>
      <c r="K156" s="61" t="str">
        <f t="shared" si="9"/>
        <v>GoldKazzinc Ltd</v>
      </c>
    </row>
    <row r="157" spans="1:11">
      <c r="A157" s="59" t="s">
        <v>148</v>
      </c>
      <c r="B157" s="59" t="s">
        <v>618</v>
      </c>
      <c r="C157" s="59" t="s">
        <v>618</v>
      </c>
      <c r="D157" s="59" t="s">
        <v>186</v>
      </c>
      <c r="E157" s="59" t="s">
        <v>619</v>
      </c>
      <c r="F157" s="59" t="s">
        <v>177</v>
      </c>
      <c r="G157" s="59"/>
      <c r="H157" s="60" t="s">
        <v>620</v>
      </c>
      <c r="I157" s="55" t="s">
        <v>281</v>
      </c>
      <c r="J157" s="61" t="str">
        <f t="shared" si="8"/>
        <v>GoldKennecott Utah Copper LLC</v>
      </c>
      <c r="K157" s="61" t="str">
        <f t="shared" si="9"/>
        <v>GoldKennecott Utah Copper LLC</v>
      </c>
    </row>
    <row r="158" spans="1:11">
      <c r="A158" s="59" t="s">
        <v>148</v>
      </c>
      <c r="B158" s="59" t="s">
        <v>621</v>
      </c>
      <c r="C158" s="59" t="s">
        <v>622</v>
      </c>
      <c r="D158" s="59" t="s">
        <v>623</v>
      </c>
      <c r="E158" s="59" t="s">
        <v>624</v>
      </c>
      <c r="F158" s="59" t="s">
        <v>177</v>
      </c>
      <c r="G158" s="59"/>
      <c r="H158" s="60" t="s">
        <v>625</v>
      </c>
      <c r="I158" s="55" t="s">
        <v>626</v>
      </c>
      <c r="J158" s="61" t="str">
        <f t="shared" si="8"/>
        <v>GoldKGHM Polska Miedz S.A.</v>
      </c>
      <c r="K158" s="61" t="str">
        <f t="shared" si="9"/>
        <v>GoldKGHM Polska Miedz S.A.</v>
      </c>
    </row>
    <row r="159" spans="1:11">
      <c r="A159" s="59" t="s">
        <v>148</v>
      </c>
      <c r="B159" s="59" t="s">
        <v>627</v>
      </c>
      <c r="C159" s="59" t="s">
        <v>627</v>
      </c>
      <c r="D159" s="59" t="s">
        <v>623</v>
      </c>
      <c r="E159" s="59" t="s">
        <v>628</v>
      </c>
      <c r="F159" s="59" t="s">
        <v>177</v>
      </c>
      <c r="G159" s="59"/>
      <c r="H159" s="60" t="s">
        <v>629</v>
      </c>
      <c r="I159" s="55" t="s">
        <v>626</v>
      </c>
      <c r="J159" s="61" t="str">
        <f t="shared" si="8"/>
        <v>GoldKGHM Polska Miedz S.A. Oddzial Huta Miedzi, Glogow</v>
      </c>
      <c r="K159" s="61" t="str">
        <f t="shared" si="9"/>
        <v>GoldKGHM Polska Miedz S.A. Oddzial Huta Miedzi, Glogow</v>
      </c>
    </row>
    <row r="160" spans="1:11">
      <c r="A160" s="59" t="s">
        <v>148</v>
      </c>
      <c r="B160" s="59" t="s">
        <v>622</v>
      </c>
      <c r="C160" s="59" t="s">
        <v>622</v>
      </c>
      <c r="D160" s="59" t="s">
        <v>623</v>
      </c>
      <c r="E160" s="59" t="s">
        <v>624</v>
      </c>
      <c r="F160" s="59" t="s">
        <v>177</v>
      </c>
      <c r="G160" s="59"/>
      <c r="H160" s="60" t="s">
        <v>625</v>
      </c>
      <c r="I160" s="55" t="s">
        <v>626</v>
      </c>
      <c r="J160" s="61" t="str">
        <f t="shared" si="8"/>
        <v>GoldKGHM Polska Miedz Spolka Akcyjna</v>
      </c>
      <c r="K160" s="61" t="str">
        <f t="shared" si="9"/>
        <v>GoldKGHM Polska Miedz Spolka Akcyjna</v>
      </c>
    </row>
    <row r="161" spans="1:11">
      <c r="A161" s="59" t="s">
        <v>148</v>
      </c>
      <c r="B161" s="59" t="s">
        <v>630</v>
      </c>
      <c r="C161" s="59" t="s">
        <v>622</v>
      </c>
      <c r="D161" s="59" t="s">
        <v>623</v>
      </c>
      <c r="E161" s="59" t="s">
        <v>624</v>
      </c>
      <c r="F161" s="59" t="s">
        <v>177</v>
      </c>
      <c r="G161" s="59"/>
      <c r="H161" s="60" t="s">
        <v>625</v>
      </c>
      <c r="I161" s="55" t="s">
        <v>626</v>
      </c>
      <c r="J161" s="61" t="str">
        <f t="shared" si="8"/>
        <v>GoldKGHM Polska Miedź Spółka Akcyjna</v>
      </c>
      <c r="K161" s="61" t="str">
        <f t="shared" si="9"/>
        <v>GoldKGHM Polska Miedź Spółka Akcyjna</v>
      </c>
    </row>
    <row r="162" spans="1:11">
      <c r="A162" s="59" t="s">
        <v>148</v>
      </c>
      <c r="B162" s="59" t="s">
        <v>631</v>
      </c>
      <c r="C162" s="59" t="s">
        <v>632</v>
      </c>
      <c r="D162" s="59" t="s">
        <v>213</v>
      </c>
      <c r="E162" s="59" t="s">
        <v>633</v>
      </c>
      <c r="F162" s="59" t="s">
        <v>177</v>
      </c>
      <c r="G162" s="59"/>
      <c r="H162" s="60" t="s">
        <v>634</v>
      </c>
      <c r="I162" s="55" t="s">
        <v>635</v>
      </c>
      <c r="J162" s="61" t="str">
        <f t="shared" si="8"/>
        <v>GoldKochi daiicihi Yamaminami plant</v>
      </c>
      <c r="K162" s="61" t="str">
        <f t="shared" si="9"/>
        <v>GoldKochi daiicihi Yamaminami plant</v>
      </c>
    </row>
    <row r="163" spans="1:11">
      <c r="A163" s="59" t="s">
        <v>148</v>
      </c>
      <c r="B163" s="59" t="s">
        <v>636</v>
      </c>
      <c r="C163" s="59" t="s">
        <v>636</v>
      </c>
      <c r="D163" s="59" t="s">
        <v>213</v>
      </c>
      <c r="E163" s="59" t="s">
        <v>637</v>
      </c>
      <c r="F163" s="59" t="s">
        <v>177</v>
      </c>
      <c r="G163" s="59"/>
      <c r="H163" s="60" t="s">
        <v>638</v>
      </c>
      <c r="I163" s="55" t="s">
        <v>430</v>
      </c>
      <c r="J163" s="61" t="str">
        <f t="shared" si="8"/>
        <v>GoldKojima Chemicals Co., Ltd.</v>
      </c>
      <c r="K163" s="61" t="str">
        <f t="shared" si="9"/>
        <v>GoldKojima Chemicals Co., Ltd.</v>
      </c>
    </row>
    <row r="164" spans="1:11">
      <c r="A164" s="59" t="s">
        <v>148</v>
      </c>
      <c r="B164" s="59" t="s">
        <v>639</v>
      </c>
      <c r="C164" s="59" t="s">
        <v>636</v>
      </c>
      <c r="D164" s="59" t="s">
        <v>213</v>
      </c>
      <c r="E164" s="59" t="s">
        <v>637</v>
      </c>
      <c r="F164" s="59" t="s">
        <v>177</v>
      </c>
      <c r="G164" s="59"/>
      <c r="H164" s="60" t="s">
        <v>638</v>
      </c>
      <c r="I164" s="55" t="s">
        <v>430</v>
      </c>
      <c r="J164" s="61" t="str">
        <f t="shared" si="8"/>
        <v>GoldKojima Kagaku Yakuhin Co., Ltd</v>
      </c>
      <c r="K164" s="61" t="str">
        <f t="shared" si="9"/>
        <v>GoldKojima Kagaku Yakuhin Co., Ltd</v>
      </c>
    </row>
    <row r="165" spans="1:11">
      <c r="A165" s="59" t="s">
        <v>148</v>
      </c>
      <c r="B165" s="59" t="s">
        <v>640</v>
      </c>
      <c r="C165" s="59" t="s">
        <v>622</v>
      </c>
      <c r="D165" s="59" t="s">
        <v>623</v>
      </c>
      <c r="E165" s="59" t="s">
        <v>624</v>
      </c>
      <c r="F165" s="59" t="s">
        <v>177</v>
      </c>
      <c r="G165" s="59"/>
      <c r="H165" s="60" t="s">
        <v>625</v>
      </c>
      <c r="I165" s="55" t="s">
        <v>626</v>
      </c>
      <c r="J165" s="61" t="str">
        <f t="shared" si="8"/>
        <v>GoldKombinat Gorniczo Hutniczy Miedz Polska Miedz S.A.</v>
      </c>
      <c r="K165" s="61" t="str">
        <f t="shared" si="9"/>
        <v>GoldKombinat Gorniczo Hutniczy Miedz Polska Miedz S.A.</v>
      </c>
    </row>
    <row r="166" spans="1:11">
      <c r="A166" s="59" t="s">
        <v>148</v>
      </c>
      <c r="B166" s="59" t="s">
        <v>641</v>
      </c>
      <c r="C166" s="59" t="s">
        <v>641</v>
      </c>
      <c r="D166" s="59" t="s">
        <v>415</v>
      </c>
      <c r="E166" s="59" t="s">
        <v>642</v>
      </c>
      <c r="F166" s="59" t="s">
        <v>177</v>
      </c>
      <c r="G166" s="59"/>
      <c r="H166" s="60" t="s">
        <v>643</v>
      </c>
      <c r="I166" s="55" t="s">
        <v>644</v>
      </c>
      <c r="J166" s="61" t="str">
        <f t="shared" si="8"/>
        <v>GoldKorea Zinc Co., Ltd.</v>
      </c>
      <c r="K166" s="61" t="str">
        <f t="shared" si="9"/>
        <v>GoldKorea Zinc Co., Ltd.</v>
      </c>
    </row>
    <row r="167" spans="1:11">
      <c r="A167" s="59" t="s">
        <v>148</v>
      </c>
      <c r="B167" s="59" t="s">
        <v>645</v>
      </c>
      <c r="C167" s="59" t="s">
        <v>449</v>
      </c>
      <c r="D167" s="59" t="s">
        <v>264</v>
      </c>
      <c r="E167" s="59" t="s">
        <v>450</v>
      </c>
      <c r="F167" s="59" t="s">
        <v>177</v>
      </c>
      <c r="G167" s="59"/>
      <c r="H167" s="60" t="s">
        <v>451</v>
      </c>
      <c r="I167" s="55" t="s">
        <v>373</v>
      </c>
      <c r="J167" s="61" t="str">
        <f t="shared" si="8"/>
        <v>GoldKori Plant</v>
      </c>
      <c r="K167" s="61" t="str">
        <f t="shared" si="9"/>
        <v>GoldKori Plant</v>
      </c>
    </row>
    <row r="168" spans="1:11">
      <c r="A168" s="59" t="s">
        <v>148</v>
      </c>
      <c r="B168" s="59" t="s">
        <v>646</v>
      </c>
      <c r="C168" s="59" t="s">
        <v>218</v>
      </c>
      <c r="D168" s="59" t="s">
        <v>213</v>
      </c>
      <c r="E168" s="59" t="s">
        <v>219</v>
      </c>
      <c r="F168" s="59" t="s">
        <v>177</v>
      </c>
      <c r="G168" s="59"/>
      <c r="H168" s="60" t="s">
        <v>220</v>
      </c>
      <c r="I168" s="55" t="s">
        <v>221</v>
      </c>
      <c r="J168" s="61" t="str">
        <f t="shared" si="8"/>
        <v>GoldKosak Seiren</v>
      </c>
      <c r="K168" s="61" t="str">
        <f t="shared" si="9"/>
        <v>GoldKosak Seiren</v>
      </c>
    </row>
    <row r="169" spans="1:11">
      <c r="A169" s="59" t="s">
        <v>148</v>
      </c>
      <c r="B169" s="59" t="s">
        <v>647</v>
      </c>
      <c r="C169" s="59" t="s">
        <v>618</v>
      </c>
      <c r="D169" s="59" t="s">
        <v>186</v>
      </c>
      <c r="E169" s="59" t="s">
        <v>619</v>
      </c>
      <c r="F169" s="59" t="s">
        <v>177</v>
      </c>
      <c r="G169" s="59"/>
      <c r="H169" s="60" t="s">
        <v>620</v>
      </c>
      <c r="I169" s="55" t="s">
        <v>281</v>
      </c>
      <c r="J169" s="61" t="str">
        <f t="shared" si="8"/>
        <v>GoldKUC</v>
      </c>
      <c r="K169" s="61" t="str">
        <f t="shared" si="9"/>
        <v>GoldKUC</v>
      </c>
    </row>
    <row r="170" spans="1:11">
      <c r="A170" s="59" t="s">
        <v>148</v>
      </c>
      <c r="B170" s="59" t="s">
        <v>648</v>
      </c>
      <c r="C170" s="59" t="s">
        <v>648</v>
      </c>
      <c r="D170" s="59" t="s">
        <v>292</v>
      </c>
      <c r="E170" s="59" t="s">
        <v>649</v>
      </c>
      <c r="F170" s="59" t="s">
        <v>177</v>
      </c>
      <c r="G170" s="59"/>
      <c r="H170" s="60" t="s">
        <v>650</v>
      </c>
      <c r="I170" s="55" t="s">
        <v>295</v>
      </c>
      <c r="J170" s="61" t="str">
        <f t="shared" si="8"/>
        <v>GoldKundan Care Products Ltd.</v>
      </c>
      <c r="K170" s="61" t="str">
        <f t="shared" si="9"/>
        <v>GoldKundan Care Products Ltd.</v>
      </c>
    </row>
    <row r="171" spans="1:11">
      <c r="A171" s="59" t="s">
        <v>148</v>
      </c>
      <c r="B171" s="59" t="s">
        <v>339</v>
      </c>
      <c r="C171" s="59" t="s">
        <v>339</v>
      </c>
      <c r="D171" s="59" t="s">
        <v>340</v>
      </c>
      <c r="E171" s="59" t="s">
        <v>341</v>
      </c>
      <c r="F171" s="59" t="s">
        <v>177</v>
      </c>
      <c r="G171" s="59"/>
      <c r="H171" s="60" t="s">
        <v>342</v>
      </c>
      <c r="I171" s="55" t="s">
        <v>343</v>
      </c>
      <c r="J171" s="61" t="str">
        <f t="shared" si="8"/>
        <v>GoldKyrgyzaltyn JSC</v>
      </c>
      <c r="K171" s="61" t="str">
        <f t="shared" si="9"/>
        <v>GoldKyrgyzaltyn JSC</v>
      </c>
    </row>
    <row r="172" spans="1:11">
      <c r="A172" s="59" t="s">
        <v>148</v>
      </c>
      <c r="B172" s="59" t="s">
        <v>651</v>
      </c>
      <c r="C172" s="59" t="s">
        <v>651</v>
      </c>
      <c r="D172" s="59" t="s">
        <v>439</v>
      </c>
      <c r="E172" s="59" t="s">
        <v>652</v>
      </c>
      <c r="F172" s="59" t="s">
        <v>177</v>
      </c>
      <c r="G172" s="59"/>
      <c r="H172" s="60" t="s">
        <v>653</v>
      </c>
      <c r="I172" s="55" t="s">
        <v>654</v>
      </c>
      <c r="J172" s="61" t="str">
        <f t="shared" si="8"/>
        <v>GoldKyshtym Copper-Electrolytic Plant ZAO</v>
      </c>
      <c r="K172" s="61" t="str">
        <f t="shared" si="9"/>
        <v>GoldKyshtym Copper-Electrolytic Plant ZAO</v>
      </c>
    </row>
    <row r="173" spans="1:11">
      <c r="A173" s="59" t="s">
        <v>148</v>
      </c>
      <c r="B173" s="59" t="s">
        <v>655</v>
      </c>
      <c r="C173" s="59" t="s">
        <v>347</v>
      </c>
      <c r="D173" s="59" t="s">
        <v>348</v>
      </c>
      <c r="E173" s="59" t="s">
        <v>349</v>
      </c>
      <c r="F173" s="59" t="s">
        <v>177</v>
      </c>
      <c r="G173" s="59"/>
      <c r="H173" s="60" t="s">
        <v>350</v>
      </c>
      <c r="I173" s="55" t="s">
        <v>351</v>
      </c>
      <c r="J173" s="61" t="str">
        <f t="shared" si="8"/>
        <v>GoldLa Caridad</v>
      </c>
      <c r="K173" s="61" t="str">
        <f t="shared" si="9"/>
        <v>GoldLa Caridad</v>
      </c>
    </row>
    <row r="174" spans="1:11">
      <c r="A174" s="59" t="s">
        <v>148</v>
      </c>
      <c r="B174" s="59" t="s">
        <v>656</v>
      </c>
      <c r="C174" s="59" t="s">
        <v>391</v>
      </c>
      <c r="D174" s="59" t="s">
        <v>257</v>
      </c>
      <c r="E174" s="59" t="s">
        <v>392</v>
      </c>
      <c r="F174" s="59" t="s">
        <v>177</v>
      </c>
      <c r="G174" s="59"/>
      <c r="H174" s="60" t="s">
        <v>393</v>
      </c>
      <c r="I174" s="55" t="s">
        <v>394</v>
      </c>
      <c r="J174" s="61" t="str">
        <f t="shared" si="8"/>
        <v>GoldLAIZHOU SHANDONG</v>
      </c>
      <c r="K174" s="61" t="str">
        <f t="shared" si="9"/>
        <v>GoldLAIZHOU SHANDONG</v>
      </c>
    </row>
    <row r="175" spans="1:11">
      <c r="A175" s="59" t="s">
        <v>148</v>
      </c>
      <c r="B175" s="59" t="s">
        <v>657</v>
      </c>
      <c r="C175" s="59" t="s">
        <v>658</v>
      </c>
      <c r="D175" s="59" t="s">
        <v>257</v>
      </c>
      <c r="E175" s="59" t="s">
        <v>659</v>
      </c>
      <c r="F175" s="59" t="s">
        <v>177</v>
      </c>
      <c r="G175" s="59"/>
      <c r="H175" s="60" t="s">
        <v>660</v>
      </c>
      <c r="I175" s="55" t="s">
        <v>389</v>
      </c>
      <c r="J175" s="61" t="str">
        <f t="shared" si="8"/>
        <v>GoldLinBao Gold Mining</v>
      </c>
      <c r="K175" s="61" t="str">
        <f t="shared" si="9"/>
        <v>GoldLinBao Gold Mining</v>
      </c>
    </row>
    <row r="176" spans="1:11">
      <c r="A176" s="59" t="s">
        <v>148</v>
      </c>
      <c r="B176" s="59" t="s">
        <v>658</v>
      </c>
      <c r="C176" s="59" t="s">
        <v>658</v>
      </c>
      <c r="D176" s="59" t="s">
        <v>257</v>
      </c>
      <c r="E176" s="59" t="s">
        <v>659</v>
      </c>
      <c r="F176" s="59" t="s">
        <v>177</v>
      </c>
      <c r="G176" s="59"/>
      <c r="H176" s="60" t="s">
        <v>660</v>
      </c>
      <c r="I176" s="55" t="s">
        <v>389</v>
      </c>
      <c r="J176" s="61" t="str">
        <f t="shared" si="8"/>
        <v>GoldLingbao Gold Co., Ltd.</v>
      </c>
      <c r="K176" s="61" t="str">
        <f t="shared" si="9"/>
        <v>GoldLingbao Gold Co., Ltd.</v>
      </c>
    </row>
    <row r="177" spans="1:11">
      <c r="A177" s="59" t="s">
        <v>148</v>
      </c>
      <c r="B177" s="59" t="s">
        <v>661</v>
      </c>
      <c r="C177" s="59" t="s">
        <v>661</v>
      </c>
      <c r="D177" s="59" t="s">
        <v>662</v>
      </c>
      <c r="E177" s="59" t="s">
        <v>663</v>
      </c>
      <c r="F177" s="59" t="s">
        <v>177</v>
      </c>
      <c r="G177" s="59"/>
      <c r="H177" s="60" t="s">
        <v>664</v>
      </c>
      <c r="I177" s="55" t="s">
        <v>664</v>
      </c>
      <c r="J177" s="61" t="str">
        <f t="shared" si="8"/>
        <v>GoldL'Orfebre S.A.</v>
      </c>
      <c r="K177" s="61" t="str">
        <f t="shared" si="9"/>
        <v>GoldL'Orfebre S.A.</v>
      </c>
    </row>
    <row r="178" spans="1:11">
      <c r="A178" s="59" t="s">
        <v>148</v>
      </c>
      <c r="B178" s="59" t="s">
        <v>665</v>
      </c>
      <c r="C178" s="59" t="s">
        <v>665</v>
      </c>
      <c r="D178" s="59" t="s">
        <v>415</v>
      </c>
      <c r="E178" s="59" t="s">
        <v>666</v>
      </c>
      <c r="F178" s="59" t="s">
        <v>177</v>
      </c>
      <c r="G178" s="59"/>
      <c r="H178" s="60" t="s">
        <v>667</v>
      </c>
      <c r="I178" s="55" t="s">
        <v>668</v>
      </c>
      <c r="J178" s="61" t="str">
        <f t="shared" si="8"/>
        <v>GoldLS MnM Inc.</v>
      </c>
      <c r="K178" s="61" t="str">
        <f t="shared" si="9"/>
        <v>GoldLS MnM Inc.</v>
      </c>
    </row>
    <row r="179" spans="1:11">
      <c r="A179" s="59" t="s">
        <v>148</v>
      </c>
      <c r="B179" s="59" t="s">
        <v>527</v>
      </c>
      <c r="C179" s="59" t="s">
        <v>527</v>
      </c>
      <c r="D179" s="59" t="s">
        <v>415</v>
      </c>
      <c r="E179" s="59" t="s">
        <v>528</v>
      </c>
      <c r="F179" s="59" t="s">
        <v>177</v>
      </c>
      <c r="G179" s="59"/>
      <c r="H179" s="60" t="s">
        <v>529</v>
      </c>
      <c r="I179" s="55" t="s">
        <v>530</v>
      </c>
      <c r="J179" s="61" t="str">
        <f t="shared" si="8"/>
        <v>GoldLT Metal Ltd.</v>
      </c>
      <c r="K179" s="61" t="str">
        <f t="shared" si="9"/>
        <v>GoldLT Metal Ltd.</v>
      </c>
    </row>
    <row r="180" spans="1:11">
      <c r="A180" s="59" t="s">
        <v>148</v>
      </c>
      <c r="B180" s="59" t="s">
        <v>669</v>
      </c>
      <c r="C180" s="59" t="s">
        <v>669</v>
      </c>
      <c r="D180" s="59" t="s">
        <v>257</v>
      </c>
      <c r="E180" s="59" t="s">
        <v>670</v>
      </c>
      <c r="F180" s="59" t="s">
        <v>177</v>
      </c>
      <c r="G180" s="59"/>
      <c r="H180" s="60" t="s">
        <v>671</v>
      </c>
      <c r="I180" s="55" t="s">
        <v>389</v>
      </c>
      <c r="J180" s="61" t="str">
        <f t="shared" si="8"/>
        <v>GoldLuoyang Zijin Yinhui Gold Refinery Co., Ltd.</v>
      </c>
      <c r="K180" s="61" t="str">
        <f t="shared" si="9"/>
        <v>GoldLuoyang Zijin Yinhui Gold Refinery Co., Ltd.</v>
      </c>
    </row>
    <row r="181" spans="1:11">
      <c r="A181" s="59" t="s">
        <v>148</v>
      </c>
      <c r="B181" s="59" t="s">
        <v>672</v>
      </c>
      <c r="C181" s="59" t="s">
        <v>669</v>
      </c>
      <c r="D181" s="59" t="s">
        <v>257</v>
      </c>
      <c r="E181" s="59" t="s">
        <v>670</v>
      </c>
      <c r="F181" s="59" t="s">
        <v>177</v>
      </c>
      <c r="G181" s="59"/>
      <c r="H181" s="60" t="s">
        <v>671</v>
      </c>
      <c r="I181" s="55" t="s">
        <v>389</v>
      </c>
      <c r="J181" s="61" t="str">
        <f t="shared" si="8"/>
        <v>GoldLuoyang Zijin Yinhui Gold Smelting</v>
      </c>
      <c r="K181" s="61" t="str">
        <f t="shared" si="9"/>
        <v>GoldLuoyang Zijin Yinhui Gold Smelting</v>
      </c>
    </row>
    <row r="182" spans="1:11">
      <c r="A182" s="59" t="s">
        <v>148</v>
      </c>
      <c r="B182" s="59" t="s">
        <v>673</v>
      </c>
      <c r="C182" s="59" t="s">
        <v>669</v>
      </c>
      <c r="D182" s="59" t="s">
        <v>257</v>
      </c>
      <c r="E182" s="59" t="s">
        <v>670</v>
      </c>
      <c r="F182" s="59" t="s">
        <v>177</v>
      </c>
      <c r="G182" s="59"/>
      <c r="H182" s="60" t="s">
        <v>671</v>
      </c>
      <c r="I182" s="55" t="s">
        <v>389</v>
      </c>
      <c r="J182" s="61" t="str">
        <f t="shared" si="8"/>
        <v>GoldLuoyang Zijin Yinhui Metal Smelt Co Ltd</v>
      </c>
      <c r="K182" s="61" t="str">
        <f t="shared" si="9"/>
        <v>GoldLuoyang Zijin Yinhui Metal Smelt Co Ltd</v>
      </c>
    </row>
    <row r="183" spans="1:11">
      <c r="A183" s="59" t="s">
        <v>148</v>
      </c>
      <c r="B183" s="59" t="s">
        <v>674</v>
      </c>
      <c r="C183" s="59" t="s">
        <v>674</v>
      </c>
      <c r="D183" s="59" t="s">
        <v>250</v>
      </c>
      <c r="E183" s="59" t="s">
        <v>675</v>
      </c>
      <c r="F183" s="59" t="s">
        <v>177</v>
      </c>
      <c r="G183" s="59"/>
      <c r="H183" s="60" t="s">
        <v>676</v>
      </c>
      <c r="I183" s="55" t="s">
        <v>677</v>
      </c>
      <c r="J183" s="61" t="str">
        <f t="shared" si="8"/>
        <v>GoldMarsam Metals</v>
      </c>
      <c r="K183" s="61" t="str">
        <f t="shared" si="9"/>
        <v>GoldMarsam Metals</v>
      </c>
    </row>
    <row r="184" spans="1:11">
      <c r="A184" s="59" t="s">
        <v>148</v>
      </c>
      <c r="B184" s="59" t="s">
        <v>678</v>
      </c>
      <c r="C184" s="59" t="s">
        <v>678</v>
      </c>
      <c r="D184" s="59" t="s">
        <v>186</v>
      </c>
      <c r="E184" s="59" t="s">
        <v>679</v>
      </c>
      <c r="F184" s="59" t="s">
        <v>177</v>
      </c>
      <c r="G184" s="59"/>
      <c r="H184" s="60" t="s">
        <v>680</v>
      </c>
      <c r="I184" s="55" t="s">
        <v>681</v>
      </c>
      <c r="J184" s="61" t="str">
        <f t="shared" si="8"/>
        <v>GoldMaterion</v>
      </c>
      <c r="K184" s="61" t="str">
        <f t="shared" si="9"/>
        <v>GoldMaterion</v>
      </c>
    </row>
    <row r="185" spans="1:11">
      <c r="A185" s="59" t="s">
        <v>148</v>
      </c>
      <c r="B185" s="59" t="s">
        <v>682</v>
      </c>
      <c r="C185" s="59" t="s">
        <v>682</v>
      </c>
      <c r="D185" s="59" t="s">
        <v>213</v>
      </c>
      <c r="E185" s="59" t="s">
        <v>683</v>
      </c>
      <c r="F185" s="59" t="s">
        <v>177</v>
      </c>
      <c r="G185" s="59"/>
      <c r="H185" s="60" t="s">
        <v>684</v>
      </c>
      <c r="I185" s="55" t="s">
        <v>216</v>
      </c>
      <c r="J185" s="61" t="str">
        <f t="shared" si="8"/>
        <v>GoldMatsuda Sangyo Co., Ltd.</v>
      </c>
      <c r="K185" s="61" t="str">
        <f t="shared" si="9"/>
        <v>GoldMatsuda Sangyo Co., Ltd.</v>
      </c>
    </row>
    <row r="186" spans="1:11">
      <c r="A186" s="59" t="s">
        <v>148</v>
      </c>
      <c r="B186" s="59" t="s">
        <v>685</v>
      </c>
      <c r="C186" s="59" t="s">
        <v>685</v>
      </c>
      <c r="D186" s="59" t="s">
        <v>292</v>
      </c>
      <c r="E186" s="59" t="s">
        <v>686</v>
      </c>
      <c r="F186" s="59" t="s">
        <v>177</v>
      </c>
      <c r="G186" s="59"/>
      <c r="H186" s="60" t="s">
        <v>687</v>
      </c>
      <c r="I186" s="55" t="s">
        <v>295</v>
      </c>
      <c r="J186" s="61" t="str">
        <f t="shared" si="8"/>
        <v>GoldMD Overseas</v>
      </c>
      <c r="K186" s="61" t="str">
        <f t="shared" si="9"/>
        <v>GoldMD Overseas</v>
      </c>
    </row>
    <row r="187" spans="1:11">
      <c r="A187" s="59" t="s">
        <v>148</v>
      </c>
      <c r="B187" s="59" t="s">
        <v>688</v>
      </c>
      <c r="C187" s="59" t="s">
        <v>689</v>
      </c>
      <c r="D187" s="59" t="s">
        <v>213</v>
      </c>
      <c r="E187" s="59" t="s">
        <v>690</v>
      </c>
      <c r="F187" s="59" t="s">
        <v>177</v>
      </c>
      <c r="G187" s="59"/>
      <c r="H187" s="60" t="s">
        <v>602</v>
      </c>
      <c r="I187" s="55" t="s">
        <v>216</v>
      </c>
      <c r="J187" s="61" t="str">
        <f t="shared" si="8"/>
        <v>GoldMEM(Sumitomo Group)</v>
      </c>
      <c r="K187" s="61" t="str">
        <f t="shared" si="9"/>
        <v>GoldMEM(Sumitomo Group)</v>
      </c>
    </row>
    <row r="188" spans="1:11">
      <c r="A188" s="59" t="s">
        <v>148</v>
      </c>
      <c r="B188" s="59" t="s">
        <v>691</v>
      </c>
      <c r="C188" s="59" t="s">
        <v>691</v>
      </c>
      <c r="D188" s="59" t="s">
        <v>303</v>
      </c>
      <c r="E188" s="59" t="s">
        <v>692</v>
      </c>
      <c r="F188" s="59" t="s">
        <v>177</v>
      </c>
      <c r="G188" s="59"/>
      <c r="H188" s="60" t="s">
        <v>693</v>
      </c>
      <c r="I188" s="55" t="s">
        <v>306</v>
      </c>
      <c r="J188" s="61" t="str">
        <f t="shared" si="8"/>
        <v>GoldMetal Concentrators SA (Pty) Ltd.</v>
      </c>
      <c r="K188" s="61" t="str">
        <f t="shared" si="9"/>
        <v>GoldMetal Concentrators SA (Pty) Ltd.</v>
      </c>
    </row>
    <row r="189" spans="1:11">
      <c r="A189" s="59" t="s">
        <v>148</v>
      </c>
      <c r="B189" s="59" t="s">
        <v>694</v>
      </c>
      <c r="C189" s="59" t="s">
        <v>695</v>
      </c>
      <c r="D189" s="59" t="s">
        <v>348</v>
      </c>
      <c r="E189" s="59" t="s">
        <v>696</v>
      </c>
      <c r="F189" s="59" t="s">
        <v>177</v>
      </c>
      <c r="G189" s="59"/>
      <c r="H189" s="60" t="s">
        <v>697</v>
      </c>
      <c r="I189" s="55" t="s">
        <v>698</v>
      </c>
      <c r="J189" s="61" t="str">
        <f t="shared" si="8"/>
        <v>GoldMetal?rgica Met-Mex Pe?oles, S.A. de C.V</v>
      </c>
      <c r="K189" s="61" t="str">
        <f t="shared" si="9"/>
        <v>GoldMetal?rgica Met-Mex Pe?oles, S.A. de C.V</v>
      </c>
    </row>
    <row r="190" spans="1:11">
      <c r="A190" s="59" t="s">
        <v>148</v>
      </c>
      <c r="B190" s="59" t="s">
        <v>699</v>
      </c>
      <c r="C190" s="59" t="s">
        <v>699</v>
      </c>
      <c r="D190" s="59" t="s">
        <v>186</v>
      </c>
      <c r="E190" s="59" t="s">
        <v>700</v>
      </c>
      <c r="F190" s="59" t="s">
        <v>177</v>
      </c>
      <c r="G190" s="59"/>
      <c r="H190" s="60" t="s">
        <v>701</v>
      </c>
      <c r="I190" s="55" t="s">
        <v>702</v>
      </c>
      <c r="J190" s="61" t="str">
        <f t="shared" si="8"/>
        <v>GoldMetallix Refining Inc.</v>
      </c>
      <c r="K190" s="61" t="str">
        <f t="shared" si="9"/>
        <v>GoldMetallix Refining Inc.</v>
      </c>
    </row>
    <row r="191" spans="1:11">
      <c r="A191" s="59" t="s">
        <v>148</v>
      </c>
      <c r="B191" s="59" t="s">
        <v>703</v>
      </c>
      <c r="C191" s="59" t="s">
        <v>704</v>
      </c>
      <c r="D191" s="59" t="s">
        <v>705</v>
      </c>
      <c r="E191" s="59" t="s">
        <v>706</v>
      </c>
      <c r="F191" s="59" t="s">
        <v>177</v>
      </c>
      <c r="G191" s="59"/>
      <c r="H191" s="60" t="s">
        <v>707</v>
      </c>
      <c r="I191" s="55" t="s">
        <v>708</v>
      </c>
      <c r="J191" s="61" t="str">
        <f t="shared" si="8"/>
        <v>GoldMetallurgie Hoboken Overpelt</v>
      </c>
      <c r="K191" s="61" t="str">
        <f t="shared" si="9"/>
        <v>GoldMetallurgie Hoboken Overpelt</v>
      </c>
    </row>
    <row r="192" spans="1:11">
      <c r="A192" s="59" t="s">
        <v>148</v>
      </c>
      <c r="B192" s="59" t="s">
        <v>709</v>
      </c>
      <c r="C192" s="59" t="s">
        <v>710</v>
      </c>
      <c r="D192" s="59" t="s">
        <v>268</v>
      </c>
      <c r="E192" s="59" t="s">
        <v>711</v>
      </c>
      <c r="F192" s="59" t="s">
        <v>177</v>
      </c>
      <c r="G192" s="59"/>
      <c r="H192" s="60" t="s">
        <v>712</v>
      </c>
      <c r="I192" s="55" t="s">
        <v>713</v>
      </c>
      <c r="J192" s="61" t="str">
        <f t="shared" si="8"/>
        <v>GoldMetalor Switzerland</v>
      </c>
      <c r="K192" s="61" t="str">
        <f t="shared" si="9"/>
        <v>GoldMetalor Switzerland</v>
      </c>
    </row>
    <row r="193" spans="1:11">
      <c r="A193" s="59" t="s">
        <v>148</v>
      </c>
      <c r="B193" s="59" t="s">
        <v>714</v>
      </c>
      <c r="C193" s="59" t="s">
        <v>714</v>
      </c>
      <c r="D193" s="59" t="s">
        <v>257</v>
      </c>
      <c r="E193" s="59" t="s">
        <v>715</v>
      </c>
      <c r="F193" s="59" t="s">
        <v>177</v>
      </c>
      <c r="G193" s="59"/>
      <c r="H193" s="60" t="s">
        <v>716</v>
      </c>
      <c r="I193" s="55" t="s">
        <v>544</v>
      </c>
      <c r="J193" s="61" t="str">
        <f t="shared" si="8"/>
        <v>GoldMetalor Technologies (Hong Kong) Ltd.</v>
      </c>
      <c r="K193" s="61" t="str">
        <f t="shared" si="9"/>
        <v>GoldMetalor Technologies (Hong Kong) Ltd.</v>
      </c>
    </row>
    <row r="194" spans="1:11">
      <c r="A194" s="59" t="s">
        <v>148</v>
      </c>
      <c r="B194" s="59" t="s">
        <v>717</v>
      </c>
      <c r="C194" s="59" t="s">
        <v>717</v>
      </c>
      <c r="D194" s="59" t="s">
        <v>718</v>
      </c>
      <c r="E194" s="59" t="s">
        <v>719</v>
      </c>
      <c r="F194" s="59" t="s">
        <v>177</v>
      </c>
      <c r="G194" s="59"/>
      <c r="H194" s="60" t="s">
        <v>720</v>
      </c>
      <c r="I194" s="55" t="s">
        <v>721</v>
      </c>
      <c r="J194" s="61" t="str">
        <f t="shared" si="8"/>
        <v>GoldMetalor Technologies (Singapore) Pte., Ltd.</v>
      </c>
      <c r="K194" s="61" t="str">
        <f t="shared" si="9"/>
        <v>GoldMetalor Technologies (Singapore) Pte., Ltd.</v>
      </c>
    </row>
    <row r="195" spans="1:11">
      <c r="A195" s="59" t="s">
        <v>148</v>
      </c>
      <c r="B195" s="59" t="s">
        <v>722</v>
      </c>
      <c r="C195" s="59" t="s">
        <v>722</v>
      </c>
      <c r="D195" s="59" t="s">
        <v>257</v>
      </c>
      <c r="E195" s="59" t="s">
        <v>723</v>
      </c>
      <c r="F195" s="59" t="s">
        <v>177</v>
      </c>
      <c r="G195" s="59"/>
      <c r="H195" s="60" t="s">
        <v>724</v>
      </c>
      <c r="I195" s="55" t="s">
        <v>422</v>
      </c>
      <c r="J195" s="61" t="str">
        <f t="shared" si="8"/>
        <v>GoldMetalor Technologies (Suzhou) Ltd.</v>
      </c>
      <c r="K195" s="61" t="str">
        <f t="shared" si="9"/>
        <v>GoldMetalor Technologies (Suzhou) Ltd.</v>
      </c>
    </row>
    <row r="196" spans="1:11">
      <c r="A196" s="59" t="s">
        <v>148</v>
      </c>
      <c r="B196" s="59" t="s">
        <v>710</v>
      </c>
      <c r="C196" s="59" t="s">
        <v>710</v>
      </c>
      <c r="D196" s="59" t="s">
        <v>268</v>
      </c>
      <c r="E196" s="59" t="s">
        <v>711</v>
      </c>
      <c r="F196" s="59" t="s">
        <v>177</v>
      </c>
      <c r="G196" s="59"/>
      <c r="H196" s="60" t="s">
        <v>712</v>
      </c>
      <c r="I196" s="55" t="s">
        <v>713</v>
      </c>
      <c r="J196" s="61" t="str">
        <f t="shared" ref="J196:J259" si="10">A196&amp;B196</f>
        <v>GoldMetalor Technologies S.A.</v>
      </c>
      <c r="K196" s="61" t="str">
        <f t="shared" ref="K196:K259" si="11">A196&amp;B196</f>
        <v>GoldMetalor Technologies S.A.</v>
      </c>
    </row>
    <row r="197" spans="1:11">
      <c r="A197" s="59" t="s">
        <v>148</v>
      </c>
      <c r="B197" s="59" t="s">
        <v>725</v>
      </c>
      <c r="C197" s="59" t="s">
        <v>725</v>
      </c>
      <c r="D197" s="59" t="s">
        <v>186</v>
      </c>
      <c r="E197" s="59" t="s">
        <v>726</v>
      </c>
      <c r="F197" s="59" t="s">
        <v>177</v>
      </c>
      <c r="G197" s="59"/>
      <c r="H197" s="60" t="s">
        <v>727</v>
      </c>
      <c r="I197" s="55" t="s">
        <v>728</v>
      </c>
      <c r="J197" s="61" t="str">
        <f t="shared" si="10"/>
        <v>GoldMetalor USA Refining Corporation</v>
      </c>
      <c r="K197" s="61" t="str">
        <f t="shared" si="11"/>
        <v>GoldMetalor USA Refining Corporation</v>
      </c>
    </row>
    <row r="198" spans="1:11">
      <c r="A198" s="59" t="s">
        <v>148</v>
      </c>
      <c r="B198" s="59" t="s">
        <v>695</v>
      </c>
      <c r="C198" s="59" t="s">
        <v>695</v>
      </c>
      <c r="D198" s="59" t="s">
        <v>348</v>
      </c>
      <c r="E198" s="59" t="s">
        <v>696</v>
      </c>
      <c r="F198" s="59" t="s">
        <v>177</v>
      </c>
      <c r="G198" s="59"/>
      <c r="H198" s="60" t="s">
        <v>697</v>
      </c>
      <c r="I198" s="55" t="s">
        <v>698</v>
      </c>
      <c r="J198" s="61" t="str">
        <f t="shared" si="10"/>
        <v>GoldMetalurgica Met-Mex Penoles S.A. De C.V.</v>
      </c>
      <c r="K198" s="61" t="str">
        <f t="shared" si="11"/>
        <v>GoldMetalurgica Met-Mex Penoles S.A. De C.V.</v>
      </c>
    </row>
    <row r="199" spans="1:11">
      <c r="A199" s="59" t="s">
        <v>148</v>
      </c>
      <c r="B199" s="59" t="s">
        <v>729</v>
      </c>
      <c r="C199" s="59" t="s">
        <v>695</v>
      </c>
      <c r="D199" s="59" t="s">
        <v>348</v>
      </c>
      <c r="E199" s="59" t="s">
        <v>696</v>
      </c>
      <c r="F199" s="59" t="s">
        <v>177</v>
      </c>
      <c r="G199" s="59"/>
      <c r="H199" s="60" t="s">
        <v>697</v>
      </c>
      <c r="I199" s="55" t="s">
        <v>698</v>
      </c>
      <c r="J199" s="61" t="str">
        <f t="shared" si="10"/>
        <v>GoldMetalúrgica Met-Mex Peñoles S.A. De C.V.</v>
      </c>
      <c r="K199" s="61" t="str">
        <f t="shared" si="11"/>
        <v>GoldMetalúrgica Met-Mex Peñoles S.A. De C.V.</v>
      </c>
    </row>
    <row r="200" spans="1:11">
      <c r="A200" s="59" t="s">
        <v>148</v>
      </c>
      <c r="B200" s="59" t="s">
        <v>730</v>
      </c>
      <c r="C200" s="59" t="s">
        <v>695</v>
      </c>
      <c r="D200" s="59" t="s">
        <v>348</v>
      </c>
      <c r="E200" s="59" t="s">
        <v>696</v>
      </c>
      <c r="F200" s="59" t="s">
        <v>177</v>
      </c>
      <c r="G200" s="59"/>
      <c r="H200" s="60" t="s">
        <v>697</v>
      </c>
      <c r="I200" s="55" t="s">
        <v>698</v>
      </c>
      <c r="J200" s="61" t="str">
        <f t="shared" si="10"/>
        <v>GoldMet-Mex Pe?oles, S.A.</v>
      </c>
      <c r="K200" s="61" t="str">
        <f t="shared" si="11"/>
        <v>GoldMet-Mex Pe?oles, S.A.</v>
      </c>
    </row>
    <row r="201" spans="1:11">
      <c r="A201" s="59" t="s">
        <v>148</v>
      </c>
      <c r="B201" s="59" t="s">
        <v>731</v>
      </c>
      <c r="C201" s="59" t="s">
        <v>695</v>
      </c>
      <c r="D201" s="59" t="s">
        <v>348</v>
      </c>
      <c r="E201" s="59" t="s">
        <v>696</v>
      </c>
      <c r="F201" s="59" t="s">
        <v>177</v>
      </c>
      <c r="G201" s="59"/>
      <c r="H201" s="60" t="s">
        <v>697</v>
      </c>
      <c r="I201" s="55" t="s">
        <v>698</v>
      </c>
      <c r="J201" s="61" t="str">
        <f t="shared" si="10"/>
        <v>GoldMet-Mex Penoles, S.A.</v>
      </c>
      <c r="K201" s="61" t="str">
        <f t="shared" si="11"/>
        <v>GoldMet-Mex Penoles, S.A.</v>
      </c>
    </row>
    <row r="202" spans="1:11">
      <c r="A202" s="59" t="s">
        <v>148</v>
      </c>
      <c r="B202" s="59" t="s">
        <v>732</v>
      </c>
      <c r="C202" s="59" t="s">
        <v>732</v>
      </c>
      <c r="D202" s="59" t="s">
        <v>264</v>
      </c>
      <c r="E202" s="59" t="s">
        <v>733</v>
      </c>
      <c r="F202" s="59" t="s">
        <v>177</v>
      </c>
      <c r="G202" s="59"/>
      <c r="H202" s="60" t="s">
        <v>734</v>
      </c>
      <c r="I202" s="55" t="s">
        <v>373</v>
      </c>
      <c r="J202" s="61" t="str">
        <f t="shared" si="10"/>
        <v>GoldMinera Titan del Peru SRL (MTP) - Belen Plant</v>
      </c>
      <c r="K202" s="61" t="str">
        <f t="shared" si="11"/>
        <v>GoldMinera Titan del Peru SRL (MTP) - Belen Plant</v>
      </c>
    </row>
    <row r="203" spans="1:11">
      <c r="A203" s="59" t="s">
        <v>148</v>
      </c>
      <c r="B203" s="59" t="s">
        <v>735</v>
      </c>
      <c r="C203" s="59" t="s">
        <v>732</v>
      </c>
      <c r="D203" s="59" t="s">
        <v>264</v>
      </c>
      <c r="E203" s="59" t="s">
        <v>733</v>
      </c>
      <c r="F203" s="59" t="s">
        <v>177</v>
      </c>
      <c r="G203" s="59"/>
      <c r="H203" s="60" t="s">
        <v>734</v>
      </c>
      <c r="I203" s="55" t="s">
        <v>373</v>
      </c>
      <c r="J203" s="61" t="str">
        <f t="shared" si="10"/>
        <v>GoldMinera Titán del Perú SRL (MTP) - Belen Plant</v>
      </c>
      <c r="K203" s="61" t="str">
        <f t="shared" si="11"/>
        <v>GoldMinera Titán del Perú SRL (MTP) - Belen Plant</v>
      </c>
    </row>
    <row r="204" spans="1:11">
      <c r="A204" s="59" t="s">
        <v>148</v>
      </c>
      <c r="B204" s="59" t="s">
        <v>736</v>
      </c>
      <c r="C204" s="59" t="s">
        <v>736</v>
      </c>
      <c r="D204" s="59" t="s">
        <v>213</v>
      </c>
      <c r="E204" s="59" t="s">
        <v>737</v>
      </c>
      <c r="F204" s="59" t="s">
        <v>177</v>
      </c>
      <c r="G204" s="59"/>
      <c r="H204" s="60" t="s">
        <v>216</v>
      </c>
      <c r="I204" s="55" t="s">
        <v>216</v>
      </c>
      <c r="J204" s="61" t="str">
        <f t="shared" si="10"/>
        <v>GoldMitsubishi Materials Corporation</v>
      </c>
      <c r="K204" s="61" t="str">
        <f t="shared" si="11"/>
        <v>GoldMitsubishi Materials Corporation</v>
      </c>
    </row>
    <row r="205" spans="1:11">
      <c r="A205" s="59" t="s">
        <v>148</v>
      </c>
      <c r="B205" s="59" t="s">
        <v>738</v>
      </c>
      <c r="C205" s="59" t="s">
        <v>739</v>
      </c>
      <c r="D205" s="59" t="s">
        <v>213</v>
      </c>
      <c r="E205" s="59" t="s">
        <v>740</v>
      </c>
      <c r="F205" s="59" t="s">
        <v>177</v>
      </c>
      <c r="G205" s="59"/>
      <c r="H205" s="60" t="s">
        <v>741</v>
      </c>
      <c r="I205" s="55" t="s">
        <v>742</v>
      </c>
      <c r="J205" s="61" t="str">
        <f t="shared" si="10"/>
        <v>GoldMitsui Kinzoku Co., Ltd.</v>
      </c>
      <c r="K205" s="61" t="str">
        <f t="shared" si="11"/>
        <v>GoldMitsui Kinzoku Co., Ltd.</v>
      </c>
    </row>
    <row r="206" spans="1:11">
      <c r="A206" s="59" t="s">
        <v>148</v>
      </c>
      <c r="B206" s="59" t="s">
        <v>739</v>
      </c>
      <c r="C206" s="59" t="s">
        <v>739</v>
      </c>
      <c r="D206" s="59" t="s">
        <v>213</v>
      </c>
      <c r="E206" s="59" t="s">
        <v>740</v>
      </c>
      <c r="F206" s="59" t="s">
        <v>177</v>
      </c>
      <c r="G206" s="59"/>
      <c r="H206" s="60" t="s">
        <v>741</v>
      </c>
      <c r="I206" s="55" t="s">
        <v>742</v>
      </c>
      <c r="J206" s="61" t="str">
        <f t="shared" si="10"/>
        <v>GoldMitsui Mining and Smelting Co., Ltd.</v>
      </c>
      <c r="K206" s="61" t="str">
        <f t="shared" si="11"/>
        <v>GoldMitsui Mining and Smelting Co., Ltd.</v>
      </c>
    </row>
    <row r="207" spans="1:11">
      <c r="A207" s="59" t="s">
        <v>148</v>
      </c>
      <c r="B207" s="59" t="s">
        <v>743</v>
      </c>
      <c r="C207" s="59" t="s">
        <v>743</v>
      </c>
      <c r="D207" s="59" t="s">
        <v>268</v>
      </c>
      <c r="E207" s="59" t="s">
        <v>744</v>
      </c>
      <c r="F207" s="59" t="s">
        <v>177</v>
      </c>
      <c r="G207" s="59"/>
      <c r="H207" s="60" t="s">
        <v>745</v>
      </c>
      <c r="I207" s="55" t="s">
        <v>746</v>
      </c>
      <c r="J207" s="61" t="str">
        <f t="shared" si="10"/>
        <v>GoldMKS PAMP SA</v>
      </c>
      <c r="K207" s="61" t="str">
        <f t="shared" si="11"/>
        <v>GoldMKS PAMP SA</v>
      </c>
    </row>
    <row r="208" spans="1:11">
      <c r="A208" s="59" t="s">
        <v>148</v>
      </c>
      <c r="B208" s="59" t="s">
        <v>747</v>
      </c>
      <c r="C208" s="59" t="s">
        <v>747</v>
      </c>
      <c r="D208" s="59" t="s">
        <v>292</v>
      </c>
      <c r="E208" s="59" t="s">
        <v>748</v>
      </c>
      <c r="F208" s="59" t="s">
        <v>177</v>
      </c>
      <c r="G208" s="59"/>
      <c r="H208" s="60" t="s">
        <v>749</v>
      </c>
      <c r="I208" s="55" t="s">
        <v>750</v>
      </c>
      <c r="J208" s="61" t="str">
        <f t="shared" si="10"/>
        <v>GoldMMTC-PAMP India Pvt., Ltd.</v>
      </c>
      <c r="K208" s="61" t="str">
        <f t="shared" si="11"/>
        <v>GoldMMTC-PAMP India Pvt., Ltd.</v>
      </c>
    </row>
    <row r="209" spans="1:11">
      <c r="A209" s="59" t="s">
        <v>148</v>
      </c>
      <c r="B209" s="59" t="s">
        <v>751</v>
      </c>
      <c r="C209" s="59" t="s">
        <v>751</v>
      </c>
      <c r="D209" s="59" t="s">
        <v>752</v>
      </c>
      <c r="E209" s="59" t="s">
        <v>753</v>
      </c>
      <c r="F209" s="59" t="s">
        <v>177</v>
      </c>
      <c r="G209" s="59"/>
      <c r="H209" s="60" t="s">
        <v>754</v>
      </c>
      <c r="I209" s="55" t="s">
        <v>755</v>
      </c>
      <c r="J209" s="61" t="str">
        <f t="shared" si="10"/>
        <v>GoldModeltech Sdn Bhd</v>
      </c>
      <c r="K209" s="61" t="str">
        <f t="shared" si="11"/>
        <v>GoldModeltech Sdn Bhd</v>
      </c>
    </row>
    <row r="210" spans="1:11">
      <c r="A210" s="59" t="s">
        <v>148</v>
      </c>
      <c r="B210" s="59" t="s">
        <v>756</v>
      </c>
      <c r="C210" s="59" t="s">
        <v>756</v>
      </c>
      <c r="D210" s="59" t="s">
        <v>757</v>
      </c>
      <c r="E210" s="59" t="s">
        <v>758</v>
      </c>
      <c r="F210" s="59" t="s">
        <v>177</v>
      </c>
      <c r="G210" s="59"/>
      <c r="H210" s="60" t="s">
        <v>759</v>
      </c>
      <c r="I210" s="55" t="s">
        <v>760</v>
      </c>
      <c r="J210" s="61" t="str">
        <f t="shared" si="10"/>
        <v>GoldMorris and Watson</v>
      </c>
      <c r="K210" s="61" t="str">
        <f t="shared" si="11"/>
        <v>GoldMorris and Watson</v>
      </c>
    </row>
    <row r="211" spans="1:11">
      <c r="A211" s="59" t="s">
        <v>148</v>
      </c>
      <c r="B211" s="59" t="s">
        <v>465</v>
      </c>
      <c r="C211" s="59" t="s">
        <v>465</v>
      </c>
      <c r="D211" s="59" t="s">
        <v>439</v>
      </c>
      <c r="E211" s="59" t="s">
        <v>466</v>
      </c>
      <c r="F211" s="59" t="s">
        <v>177</v>
      </c>
      <c r="G211" s="59"/>
      <c r="H211" s="60" t="s">
        <v>467</v>
      </c>
      <c r="I211" s="55" t="s">
        <v>468</v>
      </c>
      <c r="J211" s="61" t="str">
        <f t="shared" si="10"/>
        <v>GoldMoscow Special Alloys Processing Plant</v>
      </c>
      <c r="K211" s="61" t="str">
        <f t="shared" si="11"/>
        <v>GoldMoscow Special Alloys Processing Plant</v>
      </c>
    </row>
    <row r="212" spans="1:11">
      <c r="A212" s="59" t="s">
        <v>148</v>
      </c>
      <c r="B212" s="59" t="s">
        <v>761</v>
      </c>
      <c r="C212" s="59" t="s">
        <v>761</v>
      </c>
      <c r="D212" s="59" t="s">
        <v>575</v>
      </c>
      <c r="E212" s="59" t="s">
        <v>762</v>
      </c>
      <c r="F212" s="59" t="s">
        <v>177</v>
      </c>
      <c r="G212" s="59"/>
      <c r="H212" s="60" t="s">
        <v>763</v>
      </c>
      <c r="I212" s="55" t="s">
        <v>578</v>
      </c>
      <c r="J212" s="61" t="str">
        <f t="shared" si="10"/>
        <v>GoldNadir Metal Rafineri San. Ve Tic. A.S.</v>
      </c>
      <c r="K212" s="61" t="str">
        <f t="shared" si="11"/>
        <v>GoldNadir Metal Rafineri San. Ve Tic. A.S.</v>
      </c>
    </row>
    <row r="213" spans="1:11">
      <c r="A213" s="59" t="s">
        <v>148</v>
      </c>
      <c r="B213" s="59" t="s">
        <v>764</v>
      </c>
      <c r="C213" s="59" t="s">
        <v>761</v>
      </c>
      <c r="D213" s="59" t="s">
        <v>575</v>
      </c>
      <c r="E213" s="59" t="s">
        <v>762</v>
      </c>
      <c r="F213" s="59" t="s">
        <v>177</v>
      </c>
      <c r="G213" s="59"/>
      <c r="H213" s="60" t="s">
        <v>763</v>
      </c>
      <c r="I213" s="55" t="s">
        <v>578</v>
      </c>
      <c r="J213" s="61" t="str">
        <f t="shared" si="10"/>
        <v>GoldNadir Metal Rafineri San. Ve Tic. A.Ş.</v>
      </c>
      <c r="K213" s="61" t="str">
        <f t="shared" si="11"/>
        <v>GoldNadir Metal Rafineri San. Ve Tic. A.Ş.</v>
      </c>
    </row>
    <row r="214" spans="1:11">
      <c r="A214" s="59" t="s">
        <v>148</v>
      </c>
      <c r="B214" s="59" t="s">
        <v>765</v>
      </c>
      <c r="C214" s="59" t="s">
        <v>765</v>
      </c>
      <c r="D214" s="59" t="s">
        <v>213</v>
      </c>
      <c r="E214" s="59" t="s">
        <v>766</v>
      </c>
      <c r="F214" s="59" t="s">
        <v>177</v>
      </c>
      <c r="G214" s="59"/>
      <c r="H214" s="60" t="s">
        <v>767</v>
      </c>
      <c r="I214" s="55" t="s">
        <v>768</v>
      </c>
      <c r="J214" s="61" t="str">
        <f t="shared" si="10"/>
        <v>GoldNaoshima Smelter &amp; Refinery</v>
      </c>
      <c r="K214" s="61" t="str">
        <f t="shared" si="11"/>
        <v>GoldNaoshima Smelter &amp; Refinery</v>
      </c>
    </row>
    <row r="215" spans="1:11">
      <c r="A215" s="59" t="s">
        <v>148</v>
      </c>
      <c r="B215" s="59" t="s">
        <v>769</v>
      </c>
      <c r="C215" s="59" t="s">
        <v>769</v>
      </c>
      <c r="D215" s="59" t="s">
        <v>239</v>
      </c>
      <c r="E215" s="59" t="s">
        <v>770</v>
      </c>
      <c r="F215" s="59" t="s">
        <v>177</v>
      </c>
      <c r="G215" s="59"/>
      <c r="H215" s="60" t="s">
        <v>771</v>
      </c>
      <c r="I215" s="55" t="s">
        <v>772</v>
      </c>
      <c r="J215" s="61" t="str">
        <f t="shared" si="10"/>
        <v>GoldNavoi Mining and Metallurgical Combinat</v>
      </c>
      <c r="K215" s="61" t="str">
        <f t="shared" si="11"/>
        <v>GoldNavoi Mining and Metallurgical Combinat</v>
      </c>
    </row>
    <row r="216" spans="1:11">
      <c r="A216" s="59" t="s">
        <v>148</v>
      </c>
      <c r="B216" s="59" t="s">
        <v>773</v>
      </c>
      <c r="C216" s="59" t="s">
        <v>773</v>
      </c>
      <c r="D216" s="59" t="s">
        <v>415</v>
      </c>
      <c r="E216" s="59" t="s">
        <v>774</v>
      </c>
      <c r="F216" s="59" t="s">
        <v>177</v>
      </c>
      <c r="G216" s="59"/>
      <c r="H216" s="60" t="s">
        <v>775</v>
      </c>
      <c r="I216" s="55" t="s">
        <v>418</v>
      </c>
      <c r="J216" s="61" t="str">
        <f t="shared" si="10"/>
        <v>GoldNH Recytech Company</v>
      </c>
      <c r="K216" s="61" t="str">
        <f t="shared" si="11"/>
        <v>GoldNH Recytech Company</v>
      </c>
    </row>
    <row r="217" spans="1:11">
      <c r="A217" s="59" t="s">
        <v>148</v>
      </c>
      <c r="B217" s="59" t="s">
        <v>776</v>
      </c>
      <c r="C217" s="59" t="s">
        <v>776</v>
      </c>
      <c r="D217" s="59" t="s">
        <v>213</v>
      </c>
      <c r="E217" s="59" t="s">
        <v>777</v>
      </c>
      <c r="F217" s="59" t="s">
        <v>177</v>
      </c>
      <c r="G217" s="59"/>
      <c r="H217" s="60" t="s">
        <v>778</v>
      </c>
      <c r="I217" s="55" t="s">
        <v>779</v>
      </c>
      <c r="J217" s="61" t="str">
        <f t="shared" si="10"/>
        <v>GoldNihon Material Co., Ltd.</v>
      </c>
      <c r="K217" s="61" t="str">
        <f t="shared" si="11"/>
        <v>GoldNihon Material Co., Ltd.</v>
      </c>
    </row>
    <row r="218" spans="1:11">
      <c r="A218" s="59" t="s">
        <v>148</v>
      </c>
      <c r="B218" s="59" t="s">
        <v>780</v>
      </c>
      <c r="C218" s="59" t="s">
        <v>780</v>
      </c>
      <c r="D218" s="59" t="s">
        <v>186</v>
      </c>
      <c r="E218" s="59" t="s">
        <v>781</v>
      </c>
      <c r="F218" s="59" t="s">
        <v>177</v>
      </c>
      <c r="G218" s="59"/>
      <c r="H218" s="60" t="s">
        <v>782</v>
      </c>
      <c r="I218" s="55" t="s">
        <v>193</v>
      </c>
      <c r="J218" s="61" t="str">
        <f t="shared" si="10"/>
        <v>GoldNOBLE METAL SERVICES</v>
      </c>
      <c r="K218" s="61" t="str">
        <f t="shared" si="11"/>
        <v>GoldNOBLE METAL SERVICES</v>
      </c>
    </row>
    <row r="219" spans="1:11">
      <c r="A219" s="59" t="s">
        <v>148</v>
      </c>
      <c r="B219" s="59" t="s">
        <v>783</v>
      </c>
      <c r="C219" s="59" t="s">
        <v>776</v>
      </c>
      <c r="D219" s="59" t="s">
        <v>213</v>
      </c>
      <c r="E219" s="59" t="s">
        <v>777</v>
      </c>
      <c r="F219" s="59" t="s">
        <v>177</v>
      </c>
      <c r="G219" s="59"/>
      <c r="H219" s="60" t="s">
        <v>778</v>
      </c>
      <c r="I219" s="55" t="s">
        <v>779</v>
      </c>
      <c r="J219" s="61" t="str">
        <f t="shared" si="10"/>
        <v>GoldNohon Material Corporation</v>
      </c>
      <c r="K219" s="61" t="str">
        <f t="shared" si="11"/>
        <v>GoldNohon Material Corporation</v>
      </c>
    </row>
    <row r="220" spans="1:11">
      <c r="A220" s="59" t="s">
        <v>148</v>
      </c>
      <c r="B220" s="59" t="s">
        <v>784</v>
      </c>
      <c r="C220" s="59" t="s">
        <v>312</v>
      </c>
      <c r="D220" s="59" t="s">
        <v>200</v>
      </c>
      <c r="E220" s="59" t="s">
        <v>313</v>
      </c>
      <c r="F220" s="59" t="s">
        <v>177</v>
      </c>
      <c r="G220" s="59"/>
      <c r="H220" s="60" t="s">
        <v>314</v>
      </c>
      <c r="I220" s="55" t="s">
        <v>314</v>
      </c>
      <c r="J220" s="61" t="str">
        <f t="shared" si="10"/>
        <v>GoldNorddeutsche Affinererie AG</v>
      </c>
      <c r="K220" s="61" t="str">
        <f t="shared" si="11"/>
        <v>GoldNorddeutsche Affinererie AG</v>
      </c>
    </row>
    <row r="221" spans="1:11">
      <c r="A221" s="59" t="s">
        <v>148</v>
      </c>
      <c r="B221" s="59" t="s">
        <v>785</v>
      </c>
      <c r="C221" s="59" t="s">
        <v>785</v>
      </c>
      <c r="D221" s="59" t="s">
        <v>786</v>
      </c>
      <c r="E221" s="59" t="s">
        <v>787</v>
      </c>
      <c r="F221" s="59" t="s">
        <v>177</v>
      </c>
      <c r="G221" s="59"/>
      <c r="H221" s="60" t="s">
        <v>788</v>
      </c>
      <c r="I221" s="55" t="s">
        <v>789</v>
      </c>
      <c r="J221" s="61" t="str">
        <f t="shared" si="10"/>
        <v>GoldOegussa Oesterreichische Gold- und Silber-Scheideanstalt Gesm.b.H.</v>
      </c>
      <c r="K221" s="61" t="str">
        <f t="shared" si="11"/>
        <v>GoldOegussa Oesterreichische Gold- und Silber-Scheideanstalt Gesm.b.H.</v>
      </c>
    </row>
    <row r="222" spans="1:11">
      <c r="A222" s="59" t="s">
        <v>148</v>
      </c>
      <c r="B222" s="59" t="s">
        <v>790</v>
      </c>
      <c r="C222" s="59" t="s">
        <v>785</v>
      </c>
      <c r="D222" s="59" t="s">
        <v>786</v>
      </c>
      <c r="E222" s="59" t="s">
        <v>787</v>
      </c>
      <c r="F222" s="59" t="s">
        <v>177</v>
      </c>
      <c r="G222" s="59"/>
      <c r="H222" s="60" t="s">
        <v>788</v>
      </c>
      <c r="I222" s="55" t="s">
        <v>789</v>
      </c>
      <c r="J222" s="61" t="str">
        <f t="shared" si="10"/>
        <v>GoldOgussa Osterreichische Gold- und Silber-Scheideanstalt GmbH</v>
      </c>
      <c r="K222" s="61" t="str">
        <f t="shared" si="11"/>
        <v>GoldOgussa Osterreichische Gold- und Silber-Scheideanstalt GmbH</v>
      </c>
    </row>
    <row r="223" spans="1:11">
      <c r="A223" s="59" t="s">
        <v>148</v>
      </c>
      <c r="B223" s="59" t="s">
        <v>791</v>
      </c>
      <c r="C223" s="59" t="s">
        <v>785</v>
      </c>
      <c r="D223" s="59" t="s">
        <v>786</v>
      </c>
      <c r="E223" s="59" t="s">
        <v>787</v>
      </c>
      <c r="F223" s="59" t="s">
        <v>177</v>
      </c>
      <c r="G223" s="59"/>
      <c r="H223" s="60" t="s">
        <v>788</v>
      </c>
      <c r="I223" s="55" t="s">
        <v>789</v>
      </c>
      <c r="J223" s="61" t="str">
        <f t="shared" si="10"/>
        <v>GoldÖgussa Österreichische Gold- und Silber-Scheideanstalt GmbH</v>
      </c>
      <c r="K223" s="61" t="str">
        <f t="shared" si="11"/>
        <v>GoldÖgussa Österreichische Gold- und Silber-Scheideanstalt GmbH</v>
      </c>
    </row>
    <row r="224" spans="1:11">
      <c r="A224" s="59" t="s">
        <v>148</v>
      </c>
      <c r="B224" s="59" t="s">
        <v>792</v>
      </c>
      <c r="C224" s="59" t="s">
        <v>792</v>
      </c>
      <c r="D224" s="59" t="s">
        <v>213</v>
      </c>
      <c r="E224" s="59" t="s">
        <v>793</v>
      </c>
      <c r="F224" s="59" t="s">
        <v>177</v>
      </c>
      <c r="G224" s="59"/>
      <c r="H224" s="60" t="s">
        <v>794</v>
      </c>
      <c r="I224" s="55" t="s">
        <v>795</v>
      </c>
      <c r="J224" s="61" t="str">
        <f t="shared" si="10"/>
        <v>GoldOhura Precious Metal Industry Co., Ltd.</v>
      </c>
      <c r="K224" s="61" t="str">
        <f t="shared" si="11"/>
        <v>GoldOhura Precious Metal Industry Co., Ltd.</v>
      </c>
    </row>
    <row r="225" spans="1:11">
      <c r="A225" s="59" t="s">
        <v>148</v>
      </c>
      <c r="B225" s="59" t="s">
        <v>796</v>
      </c>
      <c r="C225" s="59" t="s">
        <v>796</v>
      </c>
      <c r="D225" s="59" t="s">
        <v>439</v>
      </c>
      <c r="E225" s="59" t="s">
        <v>797</v>
      </c>
      <c r="F225" s="59" t="s">
        <v>177</v>
      </c>
      <c r="G225" s="59"/>
      <c r="H225" s="60" t="s">
        <v>798</v>
      </c>
      <c r="I225" s="55" t="s">
        <v>799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800</v>
      </c>
      <c r="C226" s="59" t="s">
        <v>796</v>
      </c>
      <c r="D226" s="59" t="s">
        <v>439</v>
      </c>
      <c r="E226" s="59" t="s">
        <v>797</v>
      </c>
      <c r="F226" s="59" t="s">
        <v>177</v>
      </c>
      <c r="G226" s="59"/>
      <c r="H226" s="60" t="s">
        <v>798</v>
      </c>
      <c r="I226" s="55" t="s">
        <v>799</v>
      </c>
      <c r="J226" s="61" t="str">
        <f t="shared" si="10"/>
        <v>GoldOJSC Krastsvetmet</v>
      </c>
      <c r="K226" s="61" t="str">
        <f t="shared" si="11"/>
        <v>GoldOJSC Krastsvetmet</v>
      </c>
    </row>
    <row r="227" spans="1:11">
      <c r="A227" s="59" t="s">
        <v>148</v>
      </c>
      <c r="B227" s="59" t="s">
        <v>801</v>
      </c>
      <c r="C227" s="59" t="s">
        <v>476</v>
      </c>
      <c r="D227" s="59" t="s">
        <v>439</v>
      </c>
      <c r="E227" s="59" t="s">
        <v>477</v>
      </c>
      <c r="F227" s="59" t="s">
        <v>177</v>
      </c>
      <c r="G227" s="59"/>
      <c r="H227" s="60" t="s">
        <v>478</v>
      </c>
      <c r="I227" s="55" t="s">
        <v>479</v>
      </c>
      <c r="J227" s="61" t="str">
        <f t="shared" si="10"/>
        <v>GoldOJSC Novosibirsk Refinery</v>
      </c>
      <c r="K227" s="61" t="str">
        <f t="shared" si="11"/>
        <v>GoldOJSC Novosibirsk Refinery</v>
      </c>
    </row>
    <row r="228" spans="1:11">
      <c r="A228" s="59" t="s">
        <v>148</v>
      </c>
      <c r="B228" s="59" t="s">
        <v>802</v>
      </c>
      <c r="C228" s="59" t="s">
        <v>743</v>
      </c>
      <c r="D228" s="59" t="s">
        <v>268</v>
      </c>
      <c r="E228" s="59" t="s">
        <v>744</v>
      </c>
      <c r="F228" s="59" t="s">
        <v>177</v>
      </c>
      <c r="G228" s="59"/>
      <c r="H228" s="60" t="s">
        <v>745</v>
      </c>
      <c r="I228" s="55" t="s">
        <v>746</v>
      </c>
      <c r="J228" s="61" t="str">
        <f t="shared" si="10"/>
        <v>GoldPAMP S.A.</v>
      </c>
      <c r="K228" s="61" t="str">
        <f t="shared" si="11"/>
        <v>GoldPAMP S.A.</v>
      </c>
    </row>
    <row r="229" spans="1:11">
      <c r="A229" s="59" t="s">
        <v>148</v>
      </c>
      <c r="B229" s="59" t="s">
        <v>803</v>
      </c>
      <c r="C229" s="59" t="s">
        <v>600</v>
      </c>
      <c r="D229" s="59" t="s">
        <v>213</v>
      </c>
      <c r="E229" s="59" t="s">
        <v>601</v>
      </c>
      <c r="F229" s="59" t="s">
        <v>177</v>
      </c>
      <c r="G229" s="59"/>
      <c r="H229" s="60" t="s">
        <v>602</v>
      </c>
      <c r="I229" s="55" t="s">
        <v>216</v>
      </c>
      <c r="J229" s="61" t="str">
        <f t="shared" si="10"/>
        <v>GoldPan Pacific Copper Co Ltd.</v>
      </c>
      <c r="K229" s="61" t="str">
        <f t="shared" si="11"/>
        <v>GoldPan Pacific Copper Co Ltd.</v>
      </c>
    </row>
    <row r="230" spans="1:11">
      <c r="A230" s="59" t="s">
        <v>148</v>
      </c>
      <c r="B230" s="59" t="s">
        <v>804</v>
      </c>
      <c r="C230" s="59" t="s">
        <v>804</v>
      </c>
      <c r="D230" s="59" t="s">
        <v>186</v>
      </c>
      <c r="E230" s="59" t="s">
        <v>805</v>
      </c>
      <c r="F230" s="59" t="s">
        <v>177</v>
      </c>
      <c r="G230" s="59"/>
      <c r="H230" s="60" t="s">
        <v>192</v>
      </c>
      <c r="I230" s="55" t="s">
        <v>193</v>
      </c>
      <c r="J230" s="61" t="str">
        <f t="shared" si="10"/>
        <v>GoldPease &amp; Curren</v>
      </c>
      <c r="K230" s="61" t="str">
        <f t="shared" si="11"/>
        <v>GoldPease &amp; Curren</v>
      </c>
    </row>
    <row r="231" spans="1:11">
      <c r="A231" s="59" t="s">
        <v>148</v>
      </c>
      <c r="B231" s="59" t="s">
        <v>806</v>
      </c>
      <c r="C231" s="59" t="s">
        <v>806</v>
      </c>
      <c r="D231" s="59" t="s">
        <v>257</v>
      </c>
      <c r="E231" s="59" t="s">
        <v>807</v>
      </c>
      <c r="F231" s="59" t="s">
        <v>177</v>
      </c>
      <c r="G231" s="59"/>
      <c r="H231" s="60" t="s">
        <v>808</v>
      </c>
      <c r="I231" s="55" t="s">
        <v>394</v>
      </c>
      <c r="J231" s="61" t="str">
        <f t="shared" si="10"/>
        <v>GoldPenglai Penggang Gold Industry Co., Ltd.</v>
      </c>
      <c r="K231" s="61" t="str">
        <f t="shared" si="11"/>
        <v>GoldPenglai Penggang Gold Industry Co., Ltd.</v>
      </c>
    </row>
    <row r="232" spans="1:11">
      <c r="A232" s="59" t="s">
        <v>148</v>
      </c>
      <c r="B232" s="59" t="s">
        <v>809</v>
      </c>
      <c r="C232" s="59" t="s">
        <v>205</v>
      </c>
      <c r="D232" s="59" t="s">
        <v>181</v>
      </c>
      <c r="E232" s="59" t="s">
        <v>206</v>
      </c>
      <c r="F232" s="59" t="s">
        <v>177</v>
      </c>
      <c r="G232" s="59"/>
      <c r="H232" s="60" t="s">
        <v>207</v>
      </c>
      <c r="I232" s="55" t="s">
        <v>208</v>
      </c>
      <c r="J232" s="61" t="str">
        <f t="shared" si="10"/>
        <v>GoldPerth Mint</v>
      </c>
      <c r="K232" s="61" t="str">
        <f t="shared" si="11"/>
        <v>GoldPerth Mint</v>
      </c>
    </row>
    <row r="233" spans="1:11">
      <c r="A233" s="59" t="s">
        <v>148</v>
      </c>
      <c r="B233" s="59" t="s">
        <v>810</v>
      </c>
      <c r="C233" s="59" t="s">
        <v>205</v>
      </c>
      <c r="D233" s="59" t="s">
        <v>181</v>
      </c>
      <c r="E233" s="59" t="s">
        <v>206</v>
      </c>
      <c r="F233" s="59" t="s">
        <v>177</v>
      </c>
      <c r="G233" s="59"/>
      <c r="H233" s="60" t="s">
        <v>207</v>
      </c>
      <c r="I233" s="55" t="s">
        <v>208</v>
      </c>
      <c r="J233" s="61" t="str">
        <f t="shared" si="10"/>
        <v>GoldPerth Mint (ANZ)</v>
      </c>
      <c r="K233" s="61" t="str">
        <f t="shared" si="11"/>
        <v>GoldPerth Mint (ANZ)</v>
      </c>
    </row>
    <row r="234" spans="1:11">
      <c r="A234" s="59" t="s">
        <v>148</v>
      </c>
      <c r="B234" s="59" t="s">
        <v>811</v>
      </c>
      <c r="C234" s="59" t="s">
        <v>811</v>
      </c>
      <c r="D234" s="59" t="s">
        <v>812</v>
      </c>
      <c r="E234" s="59" t="s">
        <v>813</v>
      </c>
      <c r="F234" s="59" t="s">
        <v>177</v>
      </c>
      <c r="G234" s="59"/>
      <c r="H234" s="60" t="s">
        <v>814</v>
      </c>
      <c r="I234" s="55" t="s">
        <v>815</v>
      </c>
      <c r="J234" s="61" t="str">
        <f t="shared" si="10"/>
        <v>GoldPlanta Recuperadora de Metales SpA</v>
      </c>
      <c r="K234" s="61" t="str">
        <f t="shared" si="11"/>
        <v>GoldPlanta Recuperadora de Metales SpA</v>
      </c>
    </row>
    <row r="235" spans="1:11">
      <c r="A235" s="59" t="s">
        <v>148</v>
      </c>
      <c r="B235" s="59" t="s">
        <v>816</v>
      </c>
      <c r="C235" s="59" t="s">
        <v>816</v>
      </c>
      <c r="D235" s="59" t="s">
        <v>439</v>
      </c>
      <c r="E235" s="59" t="s">
        <v>817</v>
      </c>
      <c r="F235" s="59" t="s">
        <v>177</v>
      </c>
      <c r="G235" s="59"/>
      <c r="H235" s="60" t="s">
        <v>818</v>
      </c>
      <c r="I235" s="55" t="s">
        <v>819</v>
      </c>
      <c r="J235" s="61" t="str">
        <f t="shared" si="10"/>
        <v>GoldPrioksky Plant of Non-Ferrous Metals</v>
      </c>
      <c r="K235" s="61" t="str">
        <f t="shared" si="11"/>
        <v>GoldPrioksky Plant of Non-Ferrous Metals</v>
      </c>
    </row>
    <row r="236" spans="1:11">
      <c r="A236" s="59" t="s">
        <v>148</v>
      </c>
      <c r="B236" s="59" t="s">
        <v>820</v>
      </c>
      <c r="C236" s="59" t="s">
        <v>743</v>
      </c>
      <c r="D236" s="59" t="s">
        <v>268</v>
      </c>
      <c r="E236" s="59" t="s">
        <v>744</v>
      </c>
      <c r="F236" s="59" t="s">
        <v>177</v>
      </c>
      <c r="G236" s="59"/>
      <c r="H236" s="60" t="s">
        <v>745</v>
      </c>
      <c r="I236" s="55" t="s">
        <v>746</v>
      </c>
      <c r="J236" s="61" t="str">
        <f t="shared" si="10"/>
        <v>GoldProduits Artistiques de Métaux</v>
      </c>
      <c r="K236" s="61" t="str">
        <f t="shared" si="11"/>
        <v>GoldProduits Artistiques de Métaux</v>
      </c>
    </row>
    <row r="237" spans="1:11">
      <c r="A237" s="59" t="s">
        <v>148</v>
      </c>
      <c r="B237" s="59" t="s">
        <v>821</v>
      </c>
      <c r="C237" s="59" t="s">
        <v>821</v>
      </c>
      <c r="D237" s="59" t="s">
        <v>822</v>
      </c>
      <c r="E237" s="59" t="s">
        <v>823</v>
      </c>
      <c r="F237" s="59" t="s">
        <v>177</v>
      </c>
      <c r="G237" s="59"/>
      <c r="H237" s="60" t="s">
        <v>824</v>
      </c>
      <c r="I237" s="55" t="s">
        <v>825</v>
      </c>
      <c r="J237" s="61" t="str">
        <f t="shared" si="10"/>
        <v>GoldPT Aneka Tambang (Persero) Tbk</v>
      </c>
      <c r="K237" s="61" t="str">
        <f t="shared" si="11"/>
        <v>GoldPT Aneka Tambang (Persero) Tbk</v>
      </c>
    </row>
    <row r="238" spans="1:11">
      <c r="A238" s="59" t="s">
        <v>148</v>
      </c>
      <c r="B238" s="59" t="s">
        <v>826</v>
      </c>
      <c r="C238" s="59" t="s">
        <v>826</v>
      </c>
      <c r="D238" s="59" t="s">
        <v>268</v>
      </c>
      <c r="E238" s="59" t="s">
        <v>827</v>
      </c>
      <c r="F238" s="59" t="s">
        <v>177</v>
      </c>
      <c r="G238" s="59"/>
      <c r="H238" s="60" t="s">
        <v>828</v>
      </c>
      <c r="I238" s="55" t="s">
        <v>713</v>
      </c>
      <c r="J238" s="61" t="str">
        <f t="shared" si="10"/>
        <v>GoldPX Precinox S.A.</v>
      </c>
      <c r="K238" s="61" t="str">
        <f t="shared" si="11"/>
        <v>GoldPX Precinox S.A.</v>
      </c>
    </row>
    <row r="239" spans="1:11">
      <c r="A239" s="59" t="s">
        <v>148</v>
      </c>
      <c r="B239" s="59" t="s">
        <v>829</v>
      </c>
      <c r="C239" s="59" t="s">
        <v>826</v>
      </c>
      <c r="D239" s="59" t="s">
        <v>268</v>
      </c>
      <c r="E239" s="59" t="s">
        <v>827</v>
      </c>
      <c r="F239" s="59" t="s">
        <v>177</v>
      </c>
      <c r="G239" s="59"/>
      <c r="H239" s="60" t="s">
        <v>828</v>
      </c>
      <c r="I239" s="55" t="s">
        <v>713</v>
      </c>
      <c r="J239" s="61" t="str">
        <f t="shared" si="10"/>
        <v>GoldPX Précinox S.A.</v>
      </c>
      <c r="K239" s="61" t="str">
        <f t="shared" si="11"/>
        <v>GoldPX Précinox S.A.</v>
      </c>
    </row>
    <row r="240" spans="1:11">
      <c r="A240" s="59" t="s">
        <v>148</v>
      </c>
      <c r="B240" s="59" t="s">
        <v>830</v>
      </c>
      <c r="C240" s="59" t="s">
        <v>830</v>
      </c>
      <c r="D240" s="59" t="s">
        <v>186</v>
      </c>
      <c r="E240" s="59" t="s">
        <v>831</v>
      </c>
      <c r="F240" s="59" t="s">
        <v>177</v>
      </c>
      <c r="G240" s="59"/>
      <c r="H240" s="60" t="s">
        <v>832</v>
      </c>
      <c r="I240" s="55" t="s">
        <v>236</v>
      </c>
      <c r="J240" s="61" t="str">
        <f t="shared" si="10"/>
        <v>GoldQG Refining, LLC</v>
      </c>
      <c r="K240" s="61" t="str">
        <f t="shared" si="11"/>
        <v>GoldQG Refining, LLC</v>
      </c>
    </row>
    <row r="241" spans="1:11">
      <c r="A241" s="59" t="s">
        <v>148</v>
      </c>
      <c r="B241" s="59" t="s">
        <v>833</v>
      </c>
      <c r="C241" s="59" t="s">
        <v>833</v>
      </c>
      <c r="D241" s="59" t="s">
        <v>303</v>
      </c>
      <c r="E241" s="59" t="s">
        <v>834</v>
      </c>
      <c r="F241" s="59" t="s">
        <v>177</v>
      </c>
      <c r="G241" s="59"/>
      <c r="H241" s="60" t="s">
        <v>835</v>
      </c>
      <c r="I241" s="55" t="s">
        <v>306</v>
      </c>
      <c r="J241" s="61" t="str">
        <f t="shared" si="10"/>
        <v>GoldRand Refinery (Pty) Ltd.</v>
      </c>
      <c r="K241" s="61" t="str">
        <f t="shared" si="11"/>
        <v>GoldRand Refinery (Pty) Ltd.</v>
      </c>
    </row>
    <row r="242" spans="1:11">
      <c r="A242" s="59" t="s">
        <v>148</v>
      </c>
      <c r="B242" s="59" t="s">
        <v>836</v>
      </c>
      <c r="C242" s="59" t="s">
        <v>665</v>
      </c>
      <c r="D242" s="59" t="s">
        <v>415</v>
      </c>
      <c r="E242" s="59" t="s">
        <v>666</v>
      </c>
      <c r="F242" s="59" t="s">
        <v>177</v>
      </c>
      <c r="G242" s="59"/>
      <c r="H242" s="60" t="s">
        <v>667</v>
      </c>
      <c r="I242" s="55" t="s">
        <v>668</v>
      </c>
      <c r="J242" s="61" t="str">
        <f t="shared" si="10"/>
        <v>GoldRefinery LS-Nikko Copper Inc.</v>
      </c>
      <c r="K242" s="61" t="str">
        <f t="shared" si="11"/>
        <v>GoldRefinery LS-Nikko Copper Inc.</v>
      </c>
    </row>
    <row r="243" spans="1:11">
      <c r="A243" s="59" t="s">
        <v>148</v>
      </c>
      <c r="B243" s="59" t="s">
        <v>837</v>
      </c>
      <c r="C243" s="59" t="s">
        <v>838</v>
      </c>
      <c r="D243" s="59" t="s">
        <v>839</v>
      </c>
      <c r="E243" s="59" t="s">
        <v>840</v>
      </c>
      <c r="F243" s="59" t="s">
        <v>177</v>
      </c>
      <c r="G243" s="59"/>
      <c r="H243" s="60" t="s">
        <v>841</v>
      </c>
      <c r="I243" s="55" t="s">
        <v>842</v>
      </c>
      <c r="J243" s="61" t="str">
        <f t="shared" si="10"/>
        <v>GoldRemondis Argentia B.V.</v>
      </c>
      <c r="K243" s="61" t="str">
        <f t="shared" si="11"/>
        <v>GoldRemondis Argentia B.V.</v>
      </c>
    </row>
    <row r="244" spans="1:11">
      <c r="A244" s="59" t="s">
        <v>148</v>
      </c>
      <c r="B244" s="59" t="s">
        <v>838</v>
      </c>
      <c r="C244" s="59" t="s">
        <v>838</v>
      </c>
      <c r="D244" s="59" t="s">
        <v>839</v>
      </c>
      <c r="E244" s="59" t="s">
        <v>840</v>
      </c>
      <c r="F244" s="59" t="s">
        <v>177</v>
      </c>
      <c r="G244" s="59"/>
      <c r="H244" s="60" t="s">
        <v>841</v>
      </c>
      <c r="I244" s="55" t="s">
        <v>842</v>
      </c>
      <c r="J244" s="61" t="str">
        <f t="shared" si="10"/>
        <v>GoldREMONDIS PMR B.V.</v>
      </c>
      <c r="K244" s="61" t="str">
        <f t="shared" si="11"/>
        <v>GoldREMONDIS PMR B.V.</v>
      </c>
    </row>
    <row r="245" spans="1:11">
      <c r="A245" s="59" t="s">
        <v>148</v>
      </c>
      <c r="B245" s="59" t="s">
        <v>843</v>
      </c>
      <c r="C245" s="59" t="s">
        <v>843</v>
      </c>
      <c r="D245" s="59" t="s">
        <v>274</v>
      </c>
      <c r="E245" s="59" t="s">
        <v>844</v>
      </c>
      <c r="F245" s="59" t="s">
        <v>177</v>
      </c>
      <c r="G245" s="59"/>
      <c r="H245" s="60" t="s">
        <v>845</v>
      </c>
      <c r="I245" s="55" t="s">
        <v>277</v>
      </c>
      <c r="J245" s="61" t="str">
        <f t="shared" si="10"/>
        <v>GoldRoyal Canadian Mint</v>
      </c>
      <c r="K245" s="61" t="str">
        <f t="shared" si="11"/>
        <v>GoldRoyal Canadian Mint</v>
      </c>
    </row>
    <row r="246" spans="1:11">
      <c r="A246" s="59" t="s">
        <v>148</v>
      </c>
      <c r="B246" s="59" t="s">
        <v>846</v>
      </c>
      <c r="C246" s="59" t="s">
        <v>205</v>
      </c>
      <c r="D246" s="59" t="s">
        <v>181</v>
      </c>
      <c r="E246" s="59" t="s">
        <v>206</v>
      </c>
      <c r="F246" s="59" t="s">
        <v>177</v>
      </c>
      <c r="G246" s="59"/>
      <c r="H246" s="60" t="s">
        <v>207</v>
      </c>
      <c r="I246" s="55" t="s">
        <v>208</v>
      </c>
      <c r="J246" s="61" t="str">
        <f t="shared" si="10"/>
        <v>GoldRoyal Mint - Perth Branch</v>
      </c>
      <c r="K246" s="61" t="str">
        <f t="shared" si="11"/>
        <v>GoldRoyal Mint - Perth Branch</v>
      </c>
    </row>
    <row r="247" spans="1:11">
      <c r="A247" s="59" t="s">
        <v>148</v>
      </c>
      <c r="B247" s="59" t="s">
        <v>847</v>
      </c>
      <c r="C247" s="59" t="s">
        <v>847</v>
      </c>
      <c r="D247" s="59" t="s">
        <v>848</v>
      </c>
      <c r="E247" s="59" t="s">
        <v>849</v>
      </c>
      <c r="F247" s="59" t="s">
        <v>177</v>
      </c>
      <c r="G247" s="59"/>
      <c r="H247" s="60" t="s">
        <v>850</v>
      </c>
      <c r="I247" s="55" t="s">
        <v>851</v>
      </c>
      <c r="J247" s="61" t="str">
        <f t="shared" si="10"/>
        <v>GoldSAAMP</v>
      </c>
      <c r="K247" s="61" t="str">
        <f t="shared" si="11"/>
        <v>GoldSAAMP</v>
      </c>
    </row>
    <row r="248" spans="1:11">
      <c r="A248" s="59" t="s">
        <v>148</v>
      </c>
      <c r="B248" s="59" t="s">
        <v>852</v>
      </c>
      <c r="C248" s="59" t="s">
        <v>852</v>
      </c>
      <c r="D248" s="59" t="s">
        <v>186</v>
      </c>
      <c r="E248" s="59" t="s">
        <v>853</v>
      </c>
      <c r="F248" s="59" t="s">
        <v>177</v>
      </c>
      <c r="G248" s="59"/>
      <c r="H248" s="60" t="s">
        <v>854</v>
      </c>
      <c r="I248" s="55" t="s">
        <v>855</v>
      </c>
      <c r="J248" s="61" t="str">
        <f t="shared" si="10"/>
        <v>GoldSabin Metal Corp.</v>
      </c>
      <c r="K248" s="61" t="str">
        <f t="shared" si="11"/>
        <v>GoldSabin Metal Corp.</v>
      </c>
    </row>
    <row r="249" spans="1:11">
      <c r="A249" s="59" t="s">
        <v>148</v>
      </c>
      <c r="B249" s="59" t="s">
        <v>856</v>
      </c>
      <c r="C249" s="59" t="s">
        <v>856</v>
      </c>
      <c r="D249" s="59" t="s">
        <v>175</v>
      </c>
      <c r="E249" s="59" t="s">
        <v>857</v>
      </c>
      <c r="F249" s="59" t="s">
        <v>177</v>
      </c>
      <c r="G249" s="59"/>
      <c r="H249" s="60" t="s">
        <v>384</v>
      </c>
      <c r="I249" s="55" t="s">
        <v>581</v>
      </c>
      <c r="J249" s="61" t="str">
        <f t="shared" si="10"/>
        <v>GoldSafimet S.p.A</v>
      </c>
      <c r="K249" s="61" t="str">
        <f t="shared" si="11"/>
        <v>GoldSafimet S.p.A</v>
      </c>
    </row>
    <row r="250" spans="1:11">
      <c r="A250" s="59" t="s">
        <v>148</v>
      </c>
      <c r="B250" s="59" t="s">
        <v>858</v>
      </c>
      <c r="C250" s="59" t="s">
        <v>858</v>
      </c>
      <c r="D250" s="59" t="s">
        <v>859</v>
      </c>
      <c r="E250" s="59" t="s">
        <v>860</v>
      </c>
      <c r="F250" s="59" t="s">
        <v>177</v>
      </c>
      <c r="G250" s="59"/>
      <c r="H250" s="60" t="s">
        <v>861</v>
      </c>
      <c r="I250" s="55" t="s">
        <v>862</v>
      </c>
      <c r="J250" s="61" t="str">
        <f t="shared" si="10"/>
        <v>GoldSAFINA A.S.</v>
      </c>
      <c r="K250" s="61" t="str">
        <f t="shared" si="11"/>
        <v>GoldSAFINA A.S.</v>
      </c>
    </row>
    <row r="251" spans="1:11">
      <c r="A251" s="59" t="s">
        <v>148</v>
      </c>
      <c r="B251" s="59" t="s">
        <v>863</v>
      </c>
      <c r="C251" s="59" t="s">
        <v>600</v>
      </c>
      <c r="D251" s="59" t="s">
        <v>213</v>
      </c>
      <c r="E251" s="59" t="s">
        <v>601</v>
      </c>
      <c r="F251" s="59" t="s">
        <v>177</v>
      </c>
      <c r="G251" s="59"/>
      <c r="H251" s="60" t="s">
        <v>602</v>
      </c>
      <c r="I251" s="55" t="s">
        <v>216</v>
      </c>
      <c r="J251" s="61" t="str">
        <f t="shared" si="10"/>
        <v>GoldSaganoseki Smelter &amp; Refinery</v>
      </c>
      <c r="K251" s="61" t="str">
        <f t="shared" si="11"/>
        <v>GoldSaganoseki Smelter &amp; Refinery</v>
      </c>
    </row>
    <row r="252" spans="1:11">
      <c r="A252" s="59" t="s">
        <v>148</v>
      </c>
      <c r="B252" s="59" t="s">
        <v>864</v>
      </c>
      <c r="C252" s="59" t="s">
        <v>865</v>
      </c>
      <c r="D252" s="59" t="s">
        <v>224</v>
      </c>
      <c r="E252" s="59" t="s">
        <v>866</v>
      </c>
      <c r="F252" s="59" t="s">
        <v>177</v>
      </c>
      <c r="G252" s="59"/>
      <c r="H252" s="60" t="s">
        <v>226</v>
      </c>
      <c r="I252" s="55" t="s">
        <v>227</v>
      </c>
      <c r="J252" s="61" t="str">
        <f t="shared" si="10"/>
        <v>GoldSam Precious Metals</v>
      </c>
      <c r="K252" s="61" t="str">
        <f t="shared" si="11"/>
        <v>GoldSam Precious Metals</v>
      </c>
    </row>
    <row r="253" spans="1:11">
      <c r="A253" s="59" t="s">
        <v>148</v>
      </c>
      <c r="B253" s="59" t="s">
        <v>865</v>
      </c>
      <c r="C253" s="59" t="s">
        <v>865</v>
      </c>
      <c r="D253" s="59" t="s">
        <v>224</v>
      </c>
      <c r="E253" s="59" t="s">
        <v>866</v>
      </c>
      <c r="F253" s="59" t="s">
        <v>177</v>
      </c>
      <c r="G253" s="59"/>
      <c r="H253" s="60" t="s">
        <v>226</v>
      </c>
      <c r="I253" s="55" t="s">
        <v>227</v>
      </c>
      <c r="J253" s="61" t="str">
        <f t="shared" si="10"/>
        <v>GoldSAM Precious Metals FZ-LLC</v>
      </c>
      <c r="K253" s="61" t="str">
        <f t="shared" si="11"/>
        <v>GoldSAM Precious Metals FZ-LLC</v>
      </c>
    </row>
    <row r="254" spans="1:11">
      <c r="A254" s="59" t="s">
        <v>148</v>
      </c>
      <c r="B254" s="59" t="s">
        <v>867</v>
      </c>
      <c r="C254" s="59" t="s">
        <v>868</v>
      </c>
      <c r="D254" s="59" t="s">
        <v>415</v>
      </c>
      <c r="E254" s="59" t="s">
        <v>869</v>
      </c>
      <c r="F254" s="59" t="s">
        <v>177</v>
      </c>
      <c r="G254" s="59"/>
      <c r="H254" s="60" t="s">
        <v>870</v>
      </c>
      <c r="I254" s="55" t="s">
        <v>530</v>
      </c>
      <c r="J254" s="61" t="str">
        <f t="shared" si="10"/>
        <v>GoldSamdok Metal</v>
      </c>
      <c r="K254" s="61" t="str">
        <f t="shared" si="11"/>
        <v>GoldSamdok Metal</v>
      </c>
    </row>
    <row r="255" spans="1:11">
      <c r="A255" s="59" t="s">
        <v>148</v>
      </c>
      <c r="B255" s="59" t="s">
        <v>868</v>
      </c>
      <c r="C255" s="59" t="s">
        <v>868</v>
      </c>
      <c r="D255" s="59" t="s">
        <v>415</v>
      </c>
      <c r="E255" s="59" t="s">
        <v>869</v>
      </c>
      <c r="F255" s="59" t="s">
        <v>177</v>
      </c>
      <c r="G255" s="59"/>
      <c r="H255" s="60" t="s">
        <v>870</v>
      </c>
      <c r="I255" s="55" t="s">
        <v>530</v>
      </c>
      <c r="J255" s="61" t="str">
        <f t="shared" si="10"/>
        <v>GoldSamduck Precious Metals</v>
      </c>
      <c r="K255" s="61" t="str">
        <f t="shared" si="11"/>
        <v>GoldSamduck Precious Metals</v>
      </c>
    </row>
    <row r="256" spans="1:11">
      <c r="A256" s="59" t="s">
        <v>148</v>
      </c>
      <c r="B256" s="59" t="s">
        <v>871</v>
      </c>
      <c r="C256" s="59" t="s">
        <v>871</v>
      </c>
      <c r="D256" s="59" t="s">
        <v>415</v>
      </c>
      <c r="E256" s="59" t="s">
        <v>872</v>
      </c>
      <c r="F256" s="59" t="s">
        <v>177</v>
      </c>
      <c r="G256" s="59"/>
      <c r="H256" s="60" t="s">
        <v>870</v>
      </c>
      <c r="I256" s="55" t="s">
        <v>530</v>
      </c>
      <c r="J256" s="61" t="str">
        <f t="shared" si="10"/>
        <v>GoldSamwon Metals Corp.</v>
      </c>
      <c r="K256" s="61" t="str">
        <f t="shared" si="11"/>
        <v>GoldSamwon Metals Corp.</v>
      </c>
    </row>
    <row r="257" spans="1:11">
      <c r="A257" s="59" t="s">
        <v>148</v>
      </c>
      <c r="B257" s="59" t="s">
        <v>873</v>
      </c>
      <c r="C257" s="59" t="s">
        <v>868</v>
      </c>
      <c r="D257" s="59" t="s">
        <v>415</v>
      </c>
      <c r="E257" s="59" t="s">
        <v>869</v>
      </c>
      <c r="F257" s="59" t="s">
        <v>177</v>
      </c>
      <c r="G257" s="59"/>
      <c r="H257" s="60" t="s">
        <v>870</v>
      </c>
      <c r="I257" s="55" t="s">
        <v>530</v>
      </c>
      <c r="J257" s="61" t="str">
        <f t="shared" si="10"/>
        <v>GoldSD (Samdok) Metal</v>
      </c>
      <c r="K257" s="61" t="str">
        <f t="shared" si="11"/>
        <v>GoldSD (Samdok) Metal</v>
      </c>
    </row>
    <row r="258" spans="1:11">
      <c r="A258" s="59" t="s">
        <v>148</v>
      </c>
      <c r="B258" s="59" t="s">
        <v>874</v>
      </c>
      <c r="C258" s="59" t="s">
        <v>874</v>
      </c>
      <c r="D258" s="59" t="s">
        <v>288</v>
      </c>
      <c r="E258" s="59" t="s">
        <v>875</v>
      </c>
      <c r="F258" s="59" t="s">
        <v>177</v>
      </c>
      <c r="G258" s="59"/>
      <c r="H258" s="60" t="s">
        <v>876</v>
      </c>
      <c r="I258" s="55" t="s">
        <v>877</v>
      </c>
      <c r="J258" s="61" t="str">
        <f t="shared" si="10"/>
        <v>GoldSEMPSA Joyeria Plateria S.A.</v>
      </c>
      <c r="K258" s="61" t="str">
        <f t="shared" si="11"/>
        <v>GoldSEMPSA Joyeria Plateria S.A.</v>
      </c>
    </row>
    <row r="259" spans="1:11">
      <c r="A259" s="59" t="s">
        <v>148</v>
      </c>
      <c r="B259" s="59" t="s">
        <v>878</v>
      </c>
      <c r="C259" s="59" t="s">
        <v>874</v>
      </c>
      <c r="D259" s="59" t="s">
        <v>288</v>
      </c>
      <c r="E259" s="59" t="s">
        <v>875</v>
      </c>
      <c r="F259" s="59" t="s">
        <v>177</v>
      </c>
      <c r="G259" s="59"/>
      <c r="H259" s="60" t="s">
        <v>876</v>
      </c>
      <c r="I259" s="55" t="s">
        <v>877</v>
      </c>
      <c r="J259" s="61" t="str">
        <f t="shared" si="10"/>
        <v>GoldSEMPSA Joyería Platería S.A.</v>
      </c>
      <c r="K259" s="61" t="str">
        <f t="shared" si="11"/>
        <v>GoldSEMPSA Joyería Platería S.A.</v>
      </c>
    </row>
    <row r="260" spans="1:11">
      <c r="A260" s="59" t="s">
        <v>148</v>
      </c>
      <c r="B260" s="59" t="s">
        <v>879</v>
      </c>
      <c r="C260" s="59" t="s">
        <v>874</v>
      </c>
      <c r="D260" s="59" t="s">
        <v>288</v>
      </c>
      <c r="E260" s="59" t="s">
        <v>875</v>
      </c>
      <c r="F260" s="59" t="s">
        <v>177</v>
      </c>
      <c r="G260" s="59"/>
      <c r="H260" s="60" t="s">
        <v>876</v>
      </c>
      <c r="I260" s="55" t="s">
        <v>877</v>
      </c>
      <c r="J260" s="61" t="str">
        <f t="shared" ref="J260:J323" si="12">A260&amp;B260</f>
        <v>GoldSempsa JP (Cookson Sempsa)</v>
      </c>
      <c r="K260" s="61" t="str">
        <f t="shared" ref="K260:K323" si="13">A260&amp;B260</f>
        <v>GoldSempsa JP (Cookson Sempsa)</v>
      </c>
    </row>
    <row r="261" spans="1:11">
      <c r="A261" s="59" t="s">
        <v>148</v>
      </c>
      <c r="B261" s="59" t="s">
        <v>880</v>
      </c>
      <c r="C261" s="59" t="s">
        <v>391</v>
      </c>
      <c r="D261" s="59" t="s">
        <v>257</v>
      </c>
      <c r="E261" s="59" t="s">
        <v>392</v>
      </c>
      <c r="F261" s="59" t="s">
        <v>177</v>
      </c>
      <c r="G261" s="59"/>
      <c r="H261" s="60" t="s">
        <v>393</v>
      </c>
      <c r="I261" s="55" t="s">
        <v>394</v>
      </c>
      <c r="J261" s="61" t="str">
        <f t="shared" si="12"/>
        <v>GoldShan Dong Huangjin</v>
      </c>
      <c r="K261" s="61" t="str">
        <f t="shared" si="13"/>
        <v>GoldShan Dong Huangjin</v>
      </c>
    </row>
    <row r="262" spans="1:11">
      <c r="A262" s="59" t="s">
        <v>148</v>
      </c>
      <c r="B262" s="59" t="s">
        <v>881</v>
      </c>
      <c r="C262" s="59" t="s">
        <v>391</v>
      </c>
      <c r="D262" s="59" t="s">
        <v>257</v>
      </c>
      <c r="E262" s="59" t="s">
        <v>392</v>
      </c>
      <c r="F262" s="59" t="s">
        <v>177</v>
      </c>
      <c r="G262" s="59"/>
      <c r="H262" s="60" t="s">
        <v>393</v>
      </c>
      <c r="I262" s="55" t="s">
        <v>394</v>
      </c>
      <c r="J262" s="61" t="str">
        <f t="shared" si="12"/>
        <v>GoldShandong Gold Mine(Laizhou) Smelter Co., Ltd.</v>
      </c>
      <c r="K262" s="61" t="str">
        <f t="shared" si="13"/>
        <v>GoldShandong Gold Mine(Laizhou) Smelter Co., Ltd.</v>
      </c>
    </row>
    <row r="263" spans="1:11">
      <c r="A263" s="59" t="s">
        <v>148</v>
      </c>
      <c r="B263" s="59" t="s">
        <v>391</v>
      </c>
      <c r="C263" s="59" t="s">
        <v>391</v>
      </c>
      <c r="D263" s="59" t="s">
        <v>257</v>
      </c>
      <c r="E263" s="59" t="s">
        <v>392</v>
      </c>
      <c r="F263" s="59" t="s">
        <v>177</v>
      </c>
      <c r="G263" s="59"/>
      <c r="H263" s="60" t="s">
        <v>393</v>
      </c>
      <c r="I263" s="55" t="s">
        <v>394</v>
      </c>
      <c r="J263" s="61" t="str">
        <f t="shared" si="12"/>
        <v>GoldShandong Gold Smelting Co., Ltd.</v>
      </c>
      <c r="K263" s="61" t="str">
        <f t="shared" si="13"/>
        <v>GoldShandong Gold Smelting Co., Ltd.</v>
      </c>
    </row>
    <row r="264" spans="1:11">
      <c r="A264" s="59" t="s">
        <v>148</v>
      </c>
      <c r="B264" s="59" t="s">
        <v>882</v>
      </c>
      <c r="C264" s="59" t="s">
        <v>391</v>
      </c>
      <c r="D264" s="59" t="s">
        <v>257</v>
      </c>
      <c r="E264" s="59" t="s">
        <v>392</v>
      </c>
      <c r="F264" s="59" t="s">
        <v>177</v>
      </c>
      <c r="G264" s="59"/>
      <c r="H264" s="60" t="s">
        <v>393</v>
      </c>
      <c r="I264" s="55" t="s">
        <v>394</v>
      </c>
      <c r="J264" s="61" t="str">
        <f t="shared" si="12"/>
        <v>Goldshandong huangjin</v>
      </c>
      <c r="K264" s="61" t="str">
        <f t="shared" si="13"/>
        <v>Goldshandong huangjin</v>
      </c>
    </row>
    <row r="265" spans="1:11">
      <c r="A265" s="59" t="s">
        <v>148</v>
      </c>
      <c r="B265" s="59" t="s">
        <v>883</v>
      </c>
      <c r="C265" s="59" t="s">
        <v>883</v>
      </c>
      <c r="D265" s="59" t="s">
        <v>257</v>
      </c>
      <c r="E265" s="59" t="s">
        <v>884</v>
      </c>
      <c r="F265" s="59" t="s">
        <v>177</v>
      </c>
      <c r="G265" s="59"/>
      <c r="H265" s="60" t="s">
        <v>885</v>
      </c>
      <c r="I265" s="55" t="s">
        <v>394</v>
      </c>
      <c r="J265" s="61" t="str">
        <f t="shared" si="12"/>
        <v>GoldShandong Humon Smelting Co., Ltd.</v>
      </c>
      <c r="K265" s="61" t="str">
        <f t="shared" si="13"/>
        <v>GoldShandong Humon Smelting Co., Ltd.</v>
      </c>
    </row>
    <row r="266" spans="1:11">
      <c r="A266" s="59" t="s">
        <v>148</v>
      </c>
      <c r="B266" s="59" t="s">
        <v>886</v>
      </c>
      <c r="C266" s="59" t="s">
        <v>391</v>
      </c>
      <c r="D266" s="59" t="s">
        <v>257</v>
      </c>
      <c r="E266" s="59" t="s">
        <v>392</v>
      </c>
      <c r="F266" s="59" t="s">
        <v>177</v>
      </c>
      <c r="G266" s="59"/>
      <c r="H266" s="60" t="s">
        <v>393</v>
      </c>
      <c r="I266" s="55" t="s">
        <v>394</v>
      </c>
      <c r="J266" s="61" t="str">
        <f t="shared" si="12"/>
        <v>GoldShandong middlings JinYe group Co., LTD</v>
      </c>
      <c r="K266" s="61" t="str">
        <f t="shared" si="13"/>
        <v>GoldShandong middlings JinYe group Co., LTD</v>
      </c>
    </row>
    <row r="267" spans="1:11">
      <c r="A267" s="59" t="s">
        <v>148</v>
      </c>
      <c r="B267" s="59" t="s">
        <v>887</v>
      </c>
      <c r="C267" s="59" t="s">
        <v>888</v>
      </c>
      <c r="D267" s="59" t="s">
        <v>257</v>
      </c>
      <c r="E267" s="59" t="s">
        <v>889</v>
      </c>
      <c r="F267" s="59" t="s">
        <v>177</v>
      </c>
      <c r="G267" s="59"/>
      <c r="H267" s="60" t="s">
        <v>393</v>
      </c>
      <c r="I267" s="55" t="s">
        <v>394</v>
      </c>
      <c r="J267" s="61" t="str">
        <f t="shared" si="12"/>
        <v>GoldShandong Tarzan Bio-Gold Industry Co., Ltd.</v>
      </c>
      <c r="K267" s="61" t="str">
        <f t="shared" si="13"/>
        <v>GoldShandong Tarzan Bio-Gold Industry Co., Ltd.</v>
      </c>
    </row>
    <row r="268" spans="1:11">
      <c r="A268" s="59" t="s">
        <v>148</v>
      </c>
      <c r="B268" s="59" t="s">
        <v>888</v>
      </c>
      <c r="C268" s="59" t="s">
        <v>888</v>
      </c>
      <c r="D268" s="59" t="s">
        <v>257</v>
      </c>
      <c r="E268" s="59" t="s">
        <v>889</v>
      </c>
      <c r="F268" s="59" t="s">
        <v>177</v>
      </c>
      <c r="G268" s="59"/>
      <c r="H268" s="60" t="s">
        <v>393</v>
      </c>
      <c r="I268" s="55" t="s">
        <v>394</v>
      </c>
      <c r="J268" s="61" t="str">
        <f t="shared" si="12"/>
        <v>GoldShandong Tiancheng Biological Gold Industrial Co., Ltd.</v>
      </c>
      <c r="K268" s="61" t="str">
        <f t="shared" si="13"/>
        <v>GoldShandong Tiancheng Biological Gold Industrial Co., Ltd.</v>
      </c>
    </row>
    <row r="269" spans="1:11">
      <c r="A269" s="59" t="s">
        <v>148</v>
      </c>
      <c r="B269" s="59" t="s">
        <v>890</v>
      </c>
      <c r="C269" s="59" t="s">
        <v>890</v>
      </c>
      <c r="D269" s="59" t="s">
        <v>257</v>
      </c>
      <c r="E269" s="59" t="s">
        <v>891</v>
      </c>
      <c r="F269" s="59" t="s">
        <v>177</v>
      </c>
      <c r="G269" s="59"/>
      <c r="H269" s="60" t="s">
        <v>892</v>
      </c>
      <c r="I269" s="55" t="s">
        <v>394</v>
      </c>
      <c r="J269" s="61" t="str">
        <f t="shared" si="12"/>
        <v>GoldShandong Zhaojin Gold &amp; Silver Refinery Co., Ltd.</v>
      </c>
      <c r="K269" s="61" t="str">
        <f t="shared" si="13"/>
        <v>GoldShandong Zhaojin Gold &amp; Silver Refinery Co., Ltd.</v>
      </c>
    </row>
    <row r="270" spans="1:11">
      <c r="A270" s="59" t="s">
        <v>148</v>
      </c>
      <c r="B270" s="59" t="s">
        <v>893</v>
      </c>
      <c r="C270" s="59" t="s">
        <v>391</v>
      </c>
      <c r="D270" s="59" t="s">
        <v>257</v>
      </c>
      <c r="E270" s="59" t="s">
        <v>392</v>
      </c>
      <c r="F270" s="59" t="s">
        <v>177</v>
      </c>
      <c r="G270" s="59"/>
      <c r="H270" s="60" t="s">
        <v>393</v>
      </c>
      <c r="I270" s="55" t="s">
        <v>394</v>
      </c>
      <c r="J270" s="61" t="str">
        <f t="shared" si="12"/>
        <v>GoldShangdong Gold (Laizhou)</v>
      </c>
      <c r="K270" s="61" t="str">
        <f t="shared" si="13"/>
        <v>GoldShangdong Gold (Laizhou)</v>
      </c>
    </row>
    <row r="271" spans="1:11">
      <c r="A271" s="59" t="s">
        <v>148</v>
      </c>
      <c r="B271" s="59" t="s">
        <v>894</v>
      </c>
      <c r="C271" s="59" t="s">
        <v>894</v>
      </c>
      <c r="D271" s="59" t="s">
        <v>257</v>
      </c>
      <c r="E271" s="59" t="s">
        <v>895</v>
      </c>
      <c r="F271" s="59" t="s">
        <v>177</v>
      </c>
      <c r="G271" s="59"/>
      <c r="H271" s="60" t="s">
        <v>896</v>
      </c>
      <c r="I271" s="55" t="s">
        <v>897</v>
      </c>
      <c r="J271" s="61" t="str">
        <f t="shared" si="12"/>
        <v>GoldShenzhen CuiLu Gold Co., Ltd.</v>
      </c>
      <c r="K271" s="61" t="str">
        <f t="shared" si="13"/>
        <v>GoldShenzhen CuiLu Gold Co., Ltd.</v>
      </c>
    </row>
    <row r="272" spans="1:11">
      <c r="A272" s="59" t="s">
        <v>148</v>
      </c>
      <c r="B272" s="59" t="s">
        <v>898</v>
      </c>
      <c r="C272" s="59" t="s">
        <v>898</v>
      </c>
      <c r="D272" s="59" t="s">
        <v>257</v>
      </c>
      <c r="E272" s="59" t="s">
        <v>899</v>
      </c>
      <c r="F272" s="59" t="s">
        <v>177</v>
      </c>
      <c r="G272" s="59"/>
      <c r="H272" s="60" t="s">
        <v>896</v>
      </c>
      <c r="I272" s="55" t="s">
        <v>897</v>
      </c>
      <c r="J272" s="61" t="str">
        <f t="shared" si="12"/>
        <v>GoldSHENZHEN JINJUNWEI RESOURCE COMPREHENSIVE DEVELOPMENT CO., LTD.</v>
      </c>
      <c r="K272" s="61" t="str">
        <f t="shared" si="13"/>
        <v>GoldSHENZHEN JINJUNWEI RESOURCE COMPREHENSIVE DEVELOPMENT CO., LTD.</v>
      </c>
    </row>
    <row r="273" spans="1:11">
      <c r="A273" s="59" t="s">
        <v>148</v>
      </c>
      <c r="B273" s="59" t="s">
        <v>900</v>
      </c>
      <c r="C273" s="59" t="s">
        <v>900</v>
      </c>
      <c r="D273" s="59" t="s">
        <v>257</v>
      </c>
      <c r="E273" s="59" t="s">
        <v>901</v>
      </c>
      <c r="F273" s="59" t="s">
        <v>177</v>
      </c>
      <c r="G273" s="59"/>
      <c r="H273" s="60" t="s">
        <v>896</v>
      </c>
      <c r="I273" s="55" t="s">
        <v>897</v>
      </c>
      <c r="J273" s="61" t="str">
        <f t="shared" si="12"/>
        <v>GoldShenzhen Zhonghenglong Real Industry Co., Ltd.</v>
      </c>
      <c r="K273" s="61" t="str">
        <f t="shared" si="13"/>
        <v>GoldShenzhen Zhonghenglong Real Industry Co., Ltd.</v>
      </c>
    </row>
    <row r="274" spans="1:11">
      <c r="A274" s="59" t="s">
        <v>148</v>
      </c>
      <c r="B274" s="59" t="s">
        <v>902</v>
      </c>
      <c r="C274" s="59" t="s">
        <v>902</v>
      </c>
      <c r="D274" s="59" t="s">
        <v>292</v>
      </c>
      <c r="E274" s="59" t="s">
        <v>903</v>
      </c>
      <c r="F274" s="59" t="s">
        <v>177</v>
      </c>
      <c r="G274" s="59"/>
      <c r="H274" s="60" t="s">
        <v>904</v>
      </c>
      <c r="I274" s="55" t="s">
        <v>310</v>
      </c>
      <c r="J274" s="61" t="str">
        <f t="shared" si="12"/>
        <v>GoldShirpur Gold Refinery Ltd.</v>
      </c>
      <c r="K274" s="61" t="str">
        <f t="shared" si="13"/>
        <v>GoldShirpur Gold Refinery Ltd.</v>
      </c>
    </row>
    <row r="275" spans="1:11">
      <c r="A275" s="59" t="s">
        <v>148</v>
      </c>
      <c r="B275" s="59" t="s">
        <v>905</v>
      </c>
      <c r="C275" s="59" t="s">
        <v>906</v>
      </c>
      <c r="D275" s="59" t="s">
        <v>213</v>
      </c>
      <c r="E275" s="59" t="s">
        <v>907</v>
      </c>
      <c r="F275" s="59" t="s">
        <v>177</v>
      </c>
      <c r="G275" s="59"/>
      <c r="H275" s="60" t="s">
        <v>908</v>
      </c>
      <c r="I275" s="55" t="s">
        <v>216</v>
      </c>
      <c r="J275" s="61" t="str">
        <f t="shared" si="12"/>
        <v>GoldShonan Plant Tanaka Kikinzoku</v>
      </c>
      <c r="K275" s="61" t="str">
        <f t="shared" si="13"/>
        <v>GoldShonan Plant Tanaka Kikinzoku</v>
      </c>
    </row>
    <row r="276" spans="1:11">
      <c r="A276" s="59" t="s">
        <v>148</v>
      </c>
      <c r="B276" s="59" t="s">
        <v>909</v>
      </c>
      <c r="C276" s="59" t="s">
        <v>910</v>
      </c>
      <c r="D276" s="59" t="s">
        <v>439</v>
      </c>
      <c r="E276" s="59" t="s">
        <v>911</v>
      </c>
      <c r="F276" s="59" t="s">
        <v>177</v>
      </c>
      <c r="G276" s="59"/>
      <c r="H276" s="60" t="s">
        <v>912</v>
      </c>
      <c r="I276" s="55" t="s">
        <v>913</v>
      </c>
      <c r="J276" s="61" t="str">
        <f t="shared" si="12"/>
        <v>GoldShyolkovsky</v>
      </c>
      <c r="K276" s="61" t="str">
        <f t="shared" si="13"/>
        <v>GoldShyolkovsky</v>
      </c>
    </row>
    <row r="277" spans="1:11">
      <c r="A277" s="59" t="s">
        <v>148</v>
      </c>
      <c r="B277" s="59" t="s">
        <v>914</v>
      </c>
      <c r="C277" s="59" t="s">
        <v>914</v>
      </c>
      <c r="D277" s="59" t="s">
        <v>257</v>
      </c>
      <c r="E277" s="59" t="s">
        <v>915</v>
      </c>
      <c r="F277" s="59" t="s">
        <v>177</v>
      </c>
      <c r="G277" s="59"/>
      <c r="H277" s="60" t="s">
        <v>519</v>
      </c>
      <c r="I277" s="55" t="s">
        <v>520</v>
      </c>
      <c r="J277" s="61" t="str">
        <f t="shared" si="12"/>
        <v>GoldSichuan Tianze Precious Metals Co., Ltd.</v>
      </c>
      <c r="K277" s="61" t="str">
        <f t="shared" si="13"/>
        <v>GoldSichuan Tianze Precious Metals Co., Ltd.</v>
      </c>
    </row>
    <row r="278" spans="1:11">
      <c r="A278" s="59" t="s">
        <v>148</v>
      </c>
      <c r="B278" s="59" t="s">
        <v>916</v>
      </c>
      <c r="C278" s="59" t="s">
        <v>906</v>
      </c>
      <c r="D278" s="59" t="s">
        <v>213</v>
      </c>
      <c r="E278" s="59" t="s">
        <v>907</v>
      </c>
      <c r="F278" s="59" t="s">
        <v>177</v>
      </c>
      <c r="G278" s="59"/>
      <c r="H278" s="60" t="s">
        <v>908</v>
      </c>
      <c r="I278" s="55" t="s">
        <v>216</v>
      </c>
      <c r="J278" s="61" t="str">
        <f t="shared" si="12"/>
        <v>GoldSingapore Tanaka</v>
      </c>
      <c r="K278" s="61" t="str">
        <f t="shared" si="13"/>
        <v>GoldSingapore Tanaka</v>
      </c>
    </row>
    <row r="279" spans="1:11">
      <c r="A279" s="59" t="s">
        <v>148</v>
      </c>
      <c r="B279" s="59" t="s">
        <v>917</v>
      </c>
      <c r="C279" s="59" t="s">
        <v>917</v>
      </c>
      <c r="D279" s="59" t="s">
        <v>444</v>
      </c>
      <c r="E279" s="59" t="s">
        <v>918</v>
      </c>
      <c r="F279" s="59" t="s">
        <v>177</v>
      </c>
      <c r="G279" s="59"/>
      <c r="H279" s="60" t="s">
        <v>919</v>
      </c>
      <c r="I279" s="55" t="s">
        <v>920</v>
      </c>
      <c r="J279" s="61" t="str">
        <f t="shared" si="12"/>
        <v>GoldSingway Technology Co., Ltd.</v>
      </c>
      <c r="K279" s="61" t="str">
        <f t="shared" si="13"/>
        <v>GoldSingway Technology Co., Ltd.</v>
      </c>
    </row>
    <row r="280" spans="1:11">
      <c r="A280" s="59" t="s">
        <v>148</v>
      </c>
      <c r="B280" s="59" t="s">
        <v>921</v>
      </c>
      <c r="C280" s="59" t="s">
        <v>689</v>
      </c>
      <c r="D280" s="59" t="s">
        <v>213</v>
      </c>
      <c r="E280" s="59" t="s">
        <v>690</v>
      </c>
      <c r="F280" s="59" t="s">
        <v>177</v>
      </c>
      <c r="G280" s="59"/>
      <c r="H280" s="60" t="s">
        <v>602</v>
      </c>
      <c r="I280" s="55" t="s">
        <v>216</v>
      </c>
      <c r="J280" s="61" t="str">
        <f t="shared" si="12"/>
        <v>GoldSMM</v>
      </c>
      <c r="K280" s="61" t="str">
        <f t="shared" si="13"/>
        <v>GoldSMM</v>
      </c>
    </row>
    <row r="281" spans="1:11">
      <c r="A281" s="59" t="s">
        <v>148</v>
      </c>
      <c r="B281" s="59" t="s">
        <v>910</v>
      </c>
      <c r="C281" s="59" t="s">
        <v>910</v>
      </c>
      <c r="D281" s="59" t="s">
        <v>439</v>
      </c>
      <c r="E281" s="59" t="s">
        <v>911</v>
      </c>
      <c r="F281" s="59" t="s">
        <v>177</v>
      </c>
      <c r="G281" s="59"/>
      <c r="H281" s="60" t="s">
        <v>912</v>
      </c>
      <c r="I281" s="55" t="s">
        <v>913</v>
      </c>
      <c r="J281" s="61" t="str">
        <f t="shared" si="12"/>
        <v>GoldSOE Shyolkovsky Factory of Secondary Precious Metals</v>
      </c>
      <c r="K281" s="61" t="str">
        <f t="shared" si="13"/>
        <v>GoldSOE Shyolkovsky Factory of Secondary Precious Metals</v>
      </c>
    </row>
    <row r="282" spans="1:11">
      <c r="A282" s="59" t="s">
        <v>148</v>
      </c>
      <c r="B282" s="59" t="s">
        <v>922</v>
      </c>
      <c r="C282" s="59" t="s">
        <v>922</v>
      </c>
      <c r="D282" s="59" t="s">
        <v>444</v>
      </c>
      <c r="E282" s="59" t="s">
        <v>923</v>
      </c>
      <c r="F282" s="59" t="s">
        <v>177</v>
      </c>
      <c r="G282" s="59"/>
      <c r="H282" s="60" t="s">
        <v>924</v>
      </c>
      <c r="I282" s="55" t="s">
        <v>925</v>
      </c>
      <c r="J282" s="61" t="str">
        <f t="shared" si="12"/>
        <v>GoldSolar Applied Materials Technology Corp.</v>
      </c>
      <c r="K282" s="61" t="str">
        <f t="shared" si="13"/>
        <v>GoldSolar Applied Materials Technology Corp.</v>
      </c>
    </row>
    <row r="283" spans="1:11">
      <c r="A283" s="59" t="s">
        <v>148</v>
      </c>
      <c r="B283" s="59" t="s">
        <v>926</v>
      </c>
      <c r="C283" s="59" t="s">
        <v>922</v>
      </c>
      <c r="D283" s="59" t="s">
        <v>444</v>
      </c>
      <c r="E283" s="59" t="s">
        <v>923</v>
      </c>
      <c r="F283" s="59" t="s">
        <v>177</v>
      </c>
      <c r="G283" s="59"/>
      <c r="H283" s="60" t="s">
        <v>924</v>
      </c>
      <c r="I283" s="55" t="s">
        <v>925</v>
      </c>
      <c r="J283" s="61" t="str">
        <f t="shared" si="12"/>
        <v>GoldSOLAR CHEMICALAPPLIED MATERIALS TECHNOLOGY (KUN SHAN)</v>
      </c>
      <c r="K283" s="61" t="str">
        <f t="shared" si="13"/>
        <v>GoldSOLAR CHEMICALAPPLIED MATERIALS TECHNOLOGY (KUN SHAN)</v>
      </c>
    </row>
    <row r="284" spans="1:11">
      <c r="A284" s="59" t="s">
        <v>148</v>
      </c>
      <c r="B284" s="59" t="s">
        <v>927</v>
      </c>
      <c r="C284" s="59" t="s">
        <v>922</v>
      </c>
      <c r="D284" s="59" t="s">
        <v>444</v>
      </c>
      <c r="E284" s="59" t="s">
        <v>923</v>
      </c>
      <c r="F284" s="59" t="s">
        <v>177</v>
      </c>
      <c r="G284" s="59"/>
      <c r="H284" s="60" t="s">
        <v>924</v>
      </c>
      <c r="I284" s="55" t="s">
        <v>925</v>
      </c>
      <c r="J284" s="61" t="str">
        <f t="shared" si="12"/>
        <v>GoldSolartech</v>
      </c>
      <c r="K284" s="61" t="str">
        <f t="shared" si="13"/>
        <v>GoldSolartech</v>
      </c>
    </row>
    <row r="285" spans="1:11">
      <c r="A285" s="59" t="s">
        <v>148</v>
      </c>
      <c r="B285" s="59" t="s">
        <v>370</v>
      </c>
      <c r="C285" s="59" t="s">
        <v>370</v>
      </c>
      <c r="D285" s="59" t="s">
        <v>264</v>
      </c>
      <c r="E285" s="59" t="s">
        <v>371</v>
      </c>
      <c r="F285" s="59" t="s">
        <v>177</v>
      </c>
      <c r="G285" s="59"/>
      <c r="H285" s="60" t="s">
        <v>372</v>
      </c>
      <c r="I285" s="55" t="s">
        <v>373</v>
      </c>
      <c r="J285" s="61" t="str">
        <f t="shared" si="12"/>
        <v>GoldSOLEIL METALS (Chala One Plant)</v>
      </c>
      <c r="K285" s="61" t="str">
        <f t="shared" si="13"/>
        <v>GoldSOLEIL METALS (Chala One Plant)</v>
      </c>
    </row>
    <row r="286" spans="1:11">
      <c r="A286" s="59" t="s">
        <v>148</v>
      </c>
      <c r="B286" s="59" t="s">
        <v>449</v>
      </c>
      <c r="C286" s="59" t="s">
        <v>449</v>
      </c>
      <c r="D286" s="59" t="s">
        <v>264</v>
      </c>
      <c r="E286" s="59" t="s">
        <v>450</v>
      </c>
      <c r="F286" s="59" t="s">
        <v>177</v>
      </c>
      <c r="G286" s="59"/>
      <c r="H286" s="60" t="s">
        <v>451</v>
      </c>
      <c r="I286" s="55" t="s">
        <v>373</v>
      </c>
      <c r="J286" s="61" t="str">
        <f t="shared" si="12"/>
        <v>GoldSOLEIL METALS (YAKARI Plant)</v>
      </c>
      <c r="K286" s="61" t="str">
        <f t="shared" si="13"/>
        <v>GoldSOLEIL METALS (YAKARI Plant)</v>
      </c>
    </row>
    <row r="287" spans="1:11">
      <c r="A287" s="59" t="s">
        <v>148</v>
      </c>
      <c r="B287" s="59" t="s">
        <v>928</v>
      </c>
      <c r="C287" s="59" t="s">
        <v>928</v>
      </c>
      <c r="D287" s="59" t="s">
        <v>292</v>
      </c>
      <c r="E287" s="59" t="s">
        <v>929</v>
      </c>
      <c r="F287" s="59" t="s">
        <v>177</v>
      </c>
      <c r="G287" s="59"/>
      <c r="H287" s="60" t="s">
        <v>930</v>
      </c>
      <c r="I287" s="55" t="s">
        <v>503</v>
      </c>
      <c r="J287" s="61" t="str">
        <f t="shared" si="12"/>
        <v>GoldSovereign Metals</v>
      </c>
      <c r="K287" s="61" t="str">
        <f t="shared" si="13"/>
        <v>GoldSovereign Metals</v>
      </c>
    </row>
    <row r="288" spans="1:11">
      <c r="A288" s="59" t="s">
        <v>148</v>
      </c>
      <c r="B288" s="59" t="s">
        <v>931</v>
      </c>
      <c r="C288" s="59" t="s">
        <v>931</v>
      </c>
      <c r="D288" s="59" t="s">
        <v>932</v>
      </c>
      <c r="E288" s="59" t="s">
        <v>933</v>
      </c>
      <c r="F288" s="59" t="s">
        <v>177</v>
      </c>
      <c r="G288" s="59"/>
      <c r="H288" s="60" t="s">
        <v>934</v>
      </c>
      <c r="I288" s="55" t="s">
        <v>934</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935</v>
      </c>
      <c r="C289" s="59" t="s">
        <v>689</v>
      </c>
      <c r="D289" s="59" t="s">
        <v>213</v>
      </c>
      <c r="E289" s="59" t="s">
        <v>690</v>
      </c>
      <c r="F289" s="59" t="s">
        <v>177</v>
      </c>
      <c r="G289" s="59"/>
      <c r="H289" s="60" t="s">
        <v>602</v>
      </c>
      <c r="I289" s="55" t="s">
        <v>216</v>
      </c>
      <c r="J289" s="61" t="str">
        <f t="shared" si="12"/>
        <v>GoldSumitomo Kinzoku Kozan K.K.</v>
      </c>
      <c r="K289" s="61" t="str">
        <f t="shared" si="13"/>
        <v>GoldSumitomo Kinzoku Kozan K.K.</v>
      </c>
    </row>
    <row r="290" spans="1:11">
      <c r="A290" s="59" t="s">
        <v>148</v>
      </c>
      <c r="B290" s="59" t="s">
        <v>689</v>
      </c>
      <c r="C290" s="59" t="s">
        <v>689</v>
      </c>
      <c r="D290" s="59" t="s">
        <v>213</v>
      </c>
      <c r="E290" s="59" t="s">
        <v>690</v>
      </c>
      <c r="F290" s="59" t="s">
        <v>177</v>
      </c>
      <c r="G290" s="59"/>
      <c r="H290" s="60" t="s">
        <v>602</v>
      </c>
      <c r="I290" s="55" t="s">
        <v>216</v>
      </c>
      <c r="J290" s="61" t="str">
        <f t="shared" si="12"/>
        <v>GoldSumitomo Metal Mining Co., Ltd.</v>
      </c>
      <c r="K290" s="61" t="str">
        <f t="shared" si="13"/>
        <v>GoldSumitomo Metal Mining Co., Ltd.</v>
      </c>
    </row>
    <row r="291" spans="1:11">
      <c r="A291" s="59" t="s">
        <v>148</v>
      </c>
      <c r="B291" s="59" t="s">
        <v>936</v>
      </c>
      <c r="C291" s="59" t="s">
        <v>936</v>
      </c>
      <c r="D291" s="59" t="s">
        <v>415</v>
      </c>
      <c r="E291" s="59" t="s">
        <v>937</v>
      </c>
      <c r="F291" s="59" t="s">
        <v>177</v>
      </c>
      <c r="G291" s="59"/>
      <c r="H291" s="60" t="s">
        <v>938</v>
      </c>
      <c r="I291" s="55" t="s">
        <v>939</v>
      </c>
      <c r="J291" s="61" t="str">
        <f t="shared" si="12"/>
        <v>GoldSungEel HiMetal Co., Ltd.</v>
      </c>
      <c r="K291" s="61" t="str">
        <f t="shared" si="13"/>
        <v>GoldSungEel HiMetal Co., Ltd.</v>
      </c>
    </row>
    <row r="292" spans="1:11">
      <c r="A292" s="59" t="s">
        <v>148</v>
      </c>
      <c r="B292" s="59" t="s">
        <v>940</v>
      </c>
      <c r="C292" s="59" t="s">
        <v>936</v>
      </c>
      <c r="D292" s="59" t="s">
        <v>415</v>
      </c>
      <c r="E292" s="59" t="s">
        <v>937</v>
      </c>
      <c r="F292" s="59" t="s">
        <v>177</v>
      </c>
      <c r="G292" s="59"/>
      <c r="H292" s="60" t="s">
        <v>938</v>
      </c>
      <c r="I292" s="55" t="s">
        <v>939</v>
      </c>
      <c r="J292" s="61" t="str">
        <f t="shared" si="12"/>
        <v>GoldSungEel HiTech</v>
      </c>
      <c r="K292" s="61" t="str">
        <f t="shared" si="13"/>
        <v>GoldSungEel HiTech</v>
      </c>
    </row>
    <row r="293" spans="1:11">
      <c r="A293" s="59" t="s">
        <v>148</v>
      </c>
      <c r="B293" s="59" t="s">
        <v>941</v>
      </c>
      <c r="C293" s="59" t="s">
        <v>941</v>
      </c>
      <c r="D293" s="59" t="s">
        <v>444</v>
      </c>
      <c r="E293" s="59" t="s">
        <v>942</v>
      </c>
      <c r="F293" s="59" t="s">
        <v>177</v>
      </c>
      <c r="G293" s="59"/>
      <c r="H293" s="60" t="s">
        <v>920</v>
      </c>
      <c r="I293" s="55" t="s">
        <v>920</v>
      </c>
      <c r="J293" s="61" t="str">
        <f t="shared" si="12"/>
        <v>GoldSuper Dragon Technology Co., Ltd.</v>
      </c>
      <c r="K293" s="61" t="str">
        <f t="shared" si="13"/>
        <v>GoldSuper Dragon Technology Co., Ltd.</v>
      </c>
    </row>
    <row r="294" spans="1:11">
      <c r="A294" s="59" t="s">
        <v>148</v>
      </c>
      <c r="B294" s="59" t="s">
        <v>943</v>
      </c>
      <c r="C294" s="59" t="s">
        <v>943</v>
      </c>
      <c r="D294" s="59" t="s">
        <v>175</v>
      </c>
      <c r="E294" s="59" t="s">
        <v>944</v>
      </c>
      <c r="F294" s="59" t="s">
        <v>177</v>
      </c>
      <c r="G294" s="59"/>
      <c r="H294" s="60" t="s">
        <v>945</v>
      </c>
      <c r="I294" s="55" t="s">
        <v>384</v>
      </c>
      <c r="J294" s="61" t="str">
        <f t="shared" si="12"/>
        <v>GoldT.C.A S.p.A</v>
      </c>
      <c r="K294" s="61" t="str">
        <f t="shared" si="13"/>
        <v>GoldT.C.A S.p.A</v>
      </c>
    </row>
    <row r="295" spans="1:11">
      <c r="A295" s="59" t="s">
        <v>148</v>
      </c>
      <c r="B295" s="59" t="s">
        <v>946</v>
      </c>
      <c r="C295" s="59" t="s">
        <v>739</v>
      </c>
      <c r="D295" s="59" t="s">
        <v>213</v>
      </c>
      <c r="E295" s="59" t="s">
        <v>740</v>
      </c>
      <c r="F295" s="59" t="s">
        <v>177</v>
      </c>
      <c r="G295" s="59"/>
      <c r="H295" s="60" t="s">
        <v>741</v>
      </c>
      <c r="I295" s="55" t="s">
        <v>742</v>
      </c>
      <c r="J295" s="61" t="str">
        <f t="shared" si="12"/>
        <v>GoldTakehara Refinery</v>
      </c>
      <c r="K295" s="61" t="str">
        <f t="shared" si="13"/>
        <v>GoldTakehara Refinery</v>
      </c>
    </row>
    <row r="296" spans="1:11">
      <c r="A296" s="59" t="s">
        <v>148</v>
      </c>
      <c r="B296" s="59" t="s">
        <v>947</v>
      </c>
      <c r="C296" s="59" t="s">
        <v>600</v>
      </c>
      <c r="D296" s="59" t="s">
        <v>213</v>
      </c>
      <c r="E296" s="59" t="s">
        <v>601</v>
      </c>
      <c r="F296" s="59" t="s">
        <v>177</v>
      </c>
      <c r="G296" s="59"/>
      <c r="H296" s="60" t="s">
        <v>602</v>
      </c>
      <c r="I296" s="55" t="s">
        <v>216</v>
      </c>
      <c r="J296" s="61" t="str">
        <f t="shared" si="12"/>
        <v>GoldTamano Smelter</v>
      </c>
      <c r="K296" s="61" t="str">
        <f t="shared" si="13"/>
        <v>GoldTamano Smelter</v>
      </c>
    </row>
    <row r="297" spans="1:11">
      <c r="A297" s="59" t="s">
        <v>148</v>
      </c>
      <c r="B297" s="59" t="s">
        <v>948</v>
      </c>
      <c r="C297" s="59" t="s">
        <v>906</v>
      </c>
      <c r="D297" s="59" t="s">
        <v>213</v>
      </c>
      <c r="E297" s="59" t="s">
        <v>907</v>
      </c>
      <c r="F297" s="59" t="s">
        <v>177</v>
      </c>
      <c r="G297" s="59"/>
      <c r="H297" s="60" t="s">
        <v>908</v>
      </c>
      <c r="I297" s="55" t="s">
        <v>216</v>
      </c>
      <c r="J297" s="61" t="str">
        <f t="shared" si="12"/>
        <v>GoldTanaka Denshi Kogyo K.K</v>
      </c>
      <c r="K297" s="61" t="str">
        <f t="shared" si="13"/>
        <v>GoldTanaka Denshi Kogyo K.K</v>
      </c>
    </row>
    <row r="298" spans="1:11">
      <c r="A298" s="59" t="s">
        <v>148</v>
      </c>
      <c r="B298" s="59" t="s">
        <v>949</v>
      </c>
      <c r="C298" s="59" t="s">
        <v>906</v>
      </c>
      <c r="D298" s="59" t="s">
        <v>213</v>
      </c>
      <c r="E298" s="59" t="s">
        <v>907</v>
      </c>
      <c r="F298" s="59" t="s">
        <v>177</v>
      </c>
      <c r="G298" s="59"/>
      <c r="H298" s="60" t="s">
        <v>908</v>
      </c>
      <c r="I298" s="55" t="s">
        <v>216</v>
      </c>
      <c r="J298" s="61" t="str">
        <f t="shared" si="12"/>
        <v>GoldTanaka Electronics (Hong Kong) Pte. Ltd.</v>
      </c>
      <c r="K298" s="61" t="str">
        <f t="shared" si="13"/>
        <v>GoldTanaka Electronics (Hong Kong) Pte. Ltd.</v>
      </c>
    </row>
    <row r="299" spans="1:11">
      <c r="A299" s="59" t="s">
        <v>148</v>
      </c>
      <c r="B299" s="59" t="s">
        <v>950</v>
      </c>
      <c r="C299" s="59" t="s">
        <v>906</v>
      </c>
      <c r="D299" s="59" t="s">
        <v>213</v>
      </c>
      <c r="E299" s="59" t="s">
        <v>907</v>
      </c>
      <c r="F299" s="59" t="s">
        <v>177</v>
      </c>
      <c r="G299" s="59"/>
      <c r="H299" s="60" t="s">
        <v>908</v>
      </c>
      <c r="I299" s="55" t="s">
        <v>216</v>
      </c>
      <c r="J299" s="61" t="str">
        <f t="shared" si="12"/>
        <v>GoldTANAKA Electronics (Malaysia) SDN. BHD.</v>
      </c>
      <c r="K299" s="61" t="str">
        <f t="shared" si="13"/>
        <v>GoldTANAKA Electronics (Malaysia) SDN. BHD.</v>
      </c>
    </row>
    <row r="300" spans="1:11">
      <c r="A300" s="59" t="s">
        <v>148</v>
      </c>
      <c r="B300" s="59" t="s">
        <v>951</v>
      </c>
      <c r="C300" s="59" t="s">
        <v>906</v>
      </c>
      <c r="D300" s="59" t="s">
        <v>213</v>
      </c>
      <c r="E300" s="59" t="s">
        <v>907</v>
      </c>
      <c r="F300" s="59" t="s">
        <v>177</v>
      </c>
      <c r="G300" s="59"/>
      <c r="H300" s="60" t="s">
        <v>908</v>
      </c>
      <c r="I300" s="55" t="s">
        <v>216</v>
      </c>
      <c r="J300" s="61" t="str">
        <f t="shared" si="12"/>
        <v>GoldTanaka Electronics (Singapore) Pte. Ltd.</v>
      </c>
      <c r="K300" s="61" t="str">
        <f t="shared" si="13"/>
        <v>GoldTanaka Electronics (Singapore) Pte. Ltd.</v>
      </c>
    </row>
    <row r="301" spans="1:11">
      <c r="A301" s="59" t="s">
        <v>148</v>
      </c>
      <c r="B301" s="59" t="s">
        <v>952</v>
      </c>
      <c r="C301" s="59" t="s">
        <v>906</v>
      </c>
      <c r="D301" s="59" t="s">
        <v>213</v>
      </c>
      <c r="E301" s="59" t="s">
        <v>907</v>
      </c>
      <c r="F301" s="59" t="s">
        <v>177</v>
      </c>
      <c r="G301" s="59"/>
      <c r="H301" s="60" t="s">
        <v>908</v>
      </c>
      <c r="I301" s="55" t="s">
        <v>216</v>
      </c>
      <c r="J301" s="61" t="str">
        <f t="shared" si="12"/>
        <v>GoldTanaka Kikinzoku International</v>
      </c>
      <c r="K301" s="61" t="str">
        <f t="shared" si="13"/>
        <v>GoldTanaka Kikinzoku International</v>
      </c>
    </row>
    <row r="302" spans="1:11">
      <c r="A302" s="59" t="s">
        <v>148</v>
      </c>
      <c r="B302" s="59" t="s">
        <v>953</v>
      </c>
      <c r="C302" s="59" t="s">
        <v>906</v>
      </c>
      <c r="D302" s="59" t="s">
        <v>213</v>
      </c>
      <c r="E302" s="59" t="s">
        <v>907</v>
      </c>
      <c r="F302" s="59" t="s">
        <v>177</v>
      </c>
      <c r="G302" s="59"/>
      <c r="H302" s="60" t="s">
        <v>908</v>
      </c>
      <c r="I302" s="55" t="s">
        <v>216</v>
      </c>
      <c r="J302" s="61" t="str">
        <f t="shared" si="12"/>
        <v>GoldTanaka Kikinzoku Kogyo K.K</v>
      </c>
      <c r="K302" s="61" t="str">
        <f t="shared" si="13"/>
        <v>GoldTanaka Kikinzoku Kogyo K.K</v>
      </c>
    </row>
    <row r="303" spans="1:11">
      <c r="A303" s="59" t="s">
        <v>148</v>
      </c>
      <c r="B303" s="59" t="s">
        <v>906</v>
      </c>
      <c r="C303" s="59" t="s">
        <v>906</v>
      </c>
      <c r="D303" s="59" t="s">
        <v>213</v>
      </c>
      <c r="E303" s="59" t="s">
        <v>907</v>
      </c>
      <c r="F303" s="59" t="s">
        <v>177</v>
      </c>
      <c r="G303" s="59"/>
      <c r="H303" s="60" t="s">
        <v>908</v>
      </c>
      <c r="I303" s="55" t="s">
        <v>216</v>
      </c>
      <c r="J303" s="61" t="str">
        <f t="shared" si="12"/>
        <v>GoldTanaka Kikinzoku Kogyo K.K.</v>
      </c>
      <c r="K303" s="61" t="str">
        <f t="shared" si="13"/>
        <v>GoldTanaka Kikinzoku Kogyo K.K.</v>
      </c>
    </row>
    <row r="304" spans="1:11">
      <c r="A304" s="59" t="s">
        <v>148</v>
      </c>
      <c r="B304" s="59" t="s">
        <v>954</v>
      </c>
      <c r="C304" s="59" t="s">
        <v>906</v>
      </c>
      <c r="D304" s="59" t="s">
        <v>213</v>
      </c>
      <c r="E304" s="59" t="s">
        <v>907</v>
      </c>
      <c r="F304" s="59" t="s">
        <v>177</v>
      </c>
      <c r="G304" s="59"/>
      <c r="H304" s="60" t="s">
        <v>908</v>
      </c>
      <c r="I304" s="55" t="s">
        <v>216</v>
      </c>
      <c r="J304" s="61" t="str">
        <f t="shared" si="12"/>
        <v>GoldTanaka Precious Metals</v>
      </c>
      <c r="K304" s="61" t="str">
        <f t="shared" si="13"/>
        <v>GoldTanaka Precious Metals</v>
      </c>
    </row>
    <row r="305" spans="1:11">
      <c r="A305" s="59" t="s">
        <v>148</v>
      </c>
      <c r="B305" s="59" t="s">
        <v>955</v>
      </c>
      <c r="C305" s="59" t="s">
        <v>517</v>
      </c>
      <c r="D305" s="59" t="s">
        <v>257</v>
      </c>
      <c r="E305" s="59" t="s">
        <v>518</v>
      </c>
      <c r="F305" s="59" t="s">
        <v>177</v>
      </c>
      <c r="G305" s="59"/>
      <c r="H305" s="60" t="s">
        <v>519</v>
      </c>
      <c r="I305" s="55" t="s">
        <v>520</v>
      </c>
      <c r="J305" s="61" t="str">
        <f t="shared" si="12"/>
        <v>GoldThe Great Wall Gold and Silver Refinery of China</v>
      </c>
      <c r="K305" s="61" t="str">
        <f t="shared" si="13"/>
        <v>GoldThe Great Wall Gold and Silver Refinery of China</v>
      </c>
    </row>
    <row r="306" spans="1:11">
      <c r="A306" s="59" t="s">
        <v>148</v>
      </c>
      <c r="B306" s="59" t="s">
        <v>956</v>
      </c>
      <c r="C306" s="59" t="s">
        <v>205</v>
      </c>
      <c r="D306" s="59" t="s">
        <v>181</v>
      </c>
      <c r="E306" s="59" t="s">
        <v>206</v>
      </c>
      <c r="F306" s="59" t="s">
        <v>177</v>
      </c>
      <c r="G306" s="59"/>
      <c r="H306" s="60" t="s">
        <v>207</v>
      </c>
      <c r="I306" s="55" t="s">
        <v>208</v>
      </c>
      <c r="J306" s="61" t="str">
        <f t="shared" si="12"/>
        <v>GoldThe Perth Mint</v>
      </c>
      <c r="K306" s="61" t="str">
        <f t="shared" si="13"/>
        <v>GoldThe Perth Mint</v>
      </c>
    </row>
    <row r="307" spans="1:11">
      <c r="A307" s="59" t="s">
        <v>148</v>
      </c>
      <c r="B307" s="59" t="s">
        <v>957</v>
      </c>
      <c r="C307" s="59" t="s">
        <v>391</v>
      </c>
      <c r="D307" s="59" t="s">
        <v>257</v>
      </c>
      <c r="E307" s="59" t="s">
        <v>392</v>
      </c>
      <c r="F307" s="59" t="s">
        <v>177</v>
      </c>
      <c r="G307" s="59"/>
      <c r="H307" s="60" t="s">
        <v>393</v>
      </c>
      <c r="I307" s="55" t="s">
        <v>394</v>
      </c>
      <c r="J307" s="61" t="str">
        <f t="shared" si="12"/>
        <v>GoldThe Refinery of Shandong Gold Mining Co., Ltd.</v>
      </c>
      <c r="K307" s="61" t="str">
        <f t="shared" si="13"/>
        <v>GoldThe Refinery of Shandong Gold Mining Co., Ltd.</v>
      </c>
    </row>
    <row r="308" spans="1:11">
      <c r="A308" s="59" t="s">
        <v>148</v>
      </c>
      <c r="B308" s="59" t="s">
        <v>958</v>
      </c>
      <c r="C308" s="59" t="s">
        <v>958</v>
      </c>
      <c r="D308" s="59" t="s">
        <v>292</v>
      </c>
      <c r="E308" s="59" t="s">
        <v>959</v>
      </c>
      <c r="F308" s="59" t="s">
        <v>177</v>
      </c>
      <c r="G308" s="59"/>
      <c r="H308" s="60" t="s">
        <v>960</v>
      </c>
      <c r="I308" s="55" t="s">
        <v>455</v>
      </c>
      <c r="J308" s="61" t="str">
        <f t="shared" si="12"/>
        <v>GoldTITAN COMPANY LIMITED, JEWELLERY DIVISION</v>
      </c>
      <c r="K308" s="61" t="str">
        <f t="shared" si="13"/>
        <v>GoldTITAN COMPANY LIMITED, JEWELLERY DIVISION</v>
      </c>
    </row>
    <row r="309" spans="1:11">
      <c r="A309" s="59" t="s">
        <v>148</v>
      </c>
      <c r="B309" s="59" t="s">
        <v>961</v>
      </c>
      <c r="C309" s="59" t="s">
        <v>961</v>
      </c>
      <c r="D309" s="59" t="s">
        <v>213</v>
      </c>
      <c r="E309" s="59" t="s">
        <v>962</v>
      </c>
      <c r="F309" s="59" t="s">
        <v>177</v>
      </c>
      <c r="G309" s="59"/>
      <c r="H309" s="60" t="s">
        <v>963</v>
      </c>
      <c r="I309" s="55" t="s">
        <v>216</v>
      </c>
      <c r="J309" s="61" t="str">
        <f t="shared" si="12"/>
        <v>GoldTokuriki Honten Co., Ltd.</v>
      </c>
      <c r="K309" s="61" t="str">
        <f t="shared" si="13"/>
        <v>GoldTokuriki Honten Co., Ltd.</v>
      </c>
    </row>
    <row r="310" spans="1:11">
      <c r="A310" s="59" t="s">
        <v>148</v>
      </c>
      <c r="B310" s="59" t="s">
        <v>964</v>
      </c>
      <c r="C310" s="59" t="s">
        <v>256</v>
      </c>
      <c r="D310" s="59" t="s">
        <v>257</v>
      </c>
      <c r="E310" s="59" t="s">
        <v>258</v>
      </c>
      <c r="F310" s="59" t="s">
        <v>177</v>
      </c>
      <c r="G310" s="59"/>
      <c r="H310" s="60" t="s">
        <v>259</v>
      </c>
      <c r="I310" s="55" t="s">
        <v>260</v>
      </c>
      <c r="J310" s="61" t="str">
        <f t="shared" si="12"/>
        <v>GoldTongling (Jinguan) Nonferrous Jinguan Copper Industry</v>
      </c>
      <c r="K310" s="61" t="str">
        <f t="shared" si="13"/>
        <v>GoldTongling (Jinguan) Nonferrous Jinguan Copper Industry</v>
      </c>
    </row>
    <row r="311" spans="1:11">
      <c r="A311" s="59" t="s">
        <v>148</v>
      </c>
      <c r="B311" s="59" t="s">
        <v>256</v>
      </c>
      <c r="C311" s="59" t="s">
        <v>256</v>
      </c>
      <c r="D311" s="59" t="s">
        <v>257</v>
      </c>
      <c r="E311" s="59" t="s">
        <v>258</v>
      </c>
      <c r="F311" s="59" t="s">
        <v>177</v>
      </c>
      <c r="G311" s="59"/>
      <c r="H311" s="60" t="s">
        <v>259</v>
      </c>
      <c r="I311" s="55" t="s">
        <v>260</v>
      </c>
      <c r="J311" s="61" t="str">
        <f t="shared" si="12"/>
        <v>GoldTongling Nonferrous Jinguan (Ausmelt) Copper Industry</v>
      </c>
      <c r="K311" s="61" t="str">
        <f t="shared" si="13"/>
        <v>GoldTongling Nonferrous Jinguan (Ausmelt) Copper Industry</v>
      </c>
    </row>
    <row r="312" spans="1:11">
      <c r="A312" s="59" t="s">
        <v>148</v>
      </c>
      <c r="B312" s="59" t="s">
        <v>965</v>
      </c>
      <c r="C312" s="59" t="s">
        <v>256</v>
      </c>
      <c r="D312" s="59" t="s">
        <v>257</v>
      </c>
      <c r="E312" s="59" t="s">
        <v>258</v>
      </c>
      <c r="F312" s="59" t="s">
        <v>177</v>
      </c>
      <c r="G312" s="59"/>
      <c r="H312" s="60" t="s">
        <v>259</v>
      </c>
      <c r="I312" s="55" t="s">
        <v>260</v>
      </c>
      <c r="J312" s="61" t="str">
        <f t="shared" si="12"/>
        <v>GoldTongling Nonferrous Metals Group Co., Ltd.</v>
      </c>
      <c r="K312" s="61" t="str">
        <f t="shared" si="13"/>
        <v>GoldTongling Nonferrous Metals Group Co., Ltd.</v>
      </c>
    </row>
    <row r="313" spans="1:11">
      <c r="A313" s="59" t="s">
        <v>148</v>
      </c>
      <c r="B313" s="59" t="s">
        <v>966</v>
      </c>
      <c r="C313" s="59" t="s">
        <v>256</v>
      </c>
      <c r="D313" s="59" t="s">
        <v>257</v>
      </c>
      <c r="E313" s="59" t="s">
        <v>258</v>
      </c>
      <c r="F313" s="59" t="s">
        <v>177</v>
      </c>
      <c r="G313" s="59"/>
      <c r="H313" s="60" t="s">
        <v>259</v>
      </c>
      <c r="I313" s="55" t="s">
        <v>260</v>
      </c>
      <c r="J313" s="61" t="str">
        <f t="shared" si="12"/>
        <v>GoldTongLing Nonferrous Metals Group Holdings Co., Ltd.</v>
      </c>
      <c r="K313" s="61" t="str">
        <f t="shared" si="13"/>
        <v>GoldTongLing Nonferrous Metals Group Holdings Co., Ltd.</v>
      </c>
    </row>
    <row r="314" spans="1:11">
      <c r="A314" s="59" t="s">
        <v>148</v>
      </c>
      <c r="B314" s="59" t="s">
        <v>967</v>
      </c>
      <c r="C314" s="59" t="s">
        <v>967</v>
      </c>
      <c r="D314" s="59" t="s">
        <v>609</v>
      </c>
      <c r="E314" s="59" t="s">
        <v>968</v>
      </c>
      <c r="F314" s="59" t="s">
        <v>177</v>
      </c>
      <c r="G314" s="59"/>
      <c r="H314" s="60" t="s">
        <v>969</v>
      </c>
      <c r="I314" s="55" t="s">
        <v>970</v>
      </c>
      <c r="J314" s="61" t="str">
        <f t="shared" si="12"/>
        <v>GoldTOO Tau-Ken-Altyn</v>
      </c>
      <c r="K314" s="61" t="str">
        <f t="shared" si="13"/>
        <v>GoldTOO Tau-Ken-Altyn</v>
      </c>
    </row>
    <row r="315" spans="1:11">
      <c r="A315" s="59" t="s">
        <v>148</v>
      </c>
      <c r="B315" s="59" t="s">
        <v>971</v>
      </c>
      <c r="C315" s="59" t="s">
        <v>971</v>
      </c>
      <c r="D315" s="59" t="s">
        <v>415</v>
      </c>
      <c r="E315" s="59" t="s">
        <v>972</v>
      </c>
      <c r="F315" s="59" t="s">
        <v>177</v>
      </c>
      <c r="G315" s="59"/>
      <c r="H315" s="60" t="s">
        <v>973</v>
      </c>
      <c r="I315" s="55" t="s">
        <v>974</v>
      </c>
      <c r="J315" s="61" t="str">
        <f t="shared" si="12"/>
        <v>GoldTorecom</v>
      </c>
      <c r="K315" s="61" t="str">
        <f t="shared" si="13"/>
        <v>GoldTorecom</v>
      </c>
    </row>
    <row r="316" spans="1:11">
      <c r="A316" s="59" t="s">
        <v>148</v>
      </c>
      <c r="B316" s="59" t="s">
        <v>975</v>
      </c>
      <c r="C316" s="59" t="s">
        <v>674</v>
      </c>
      <c r="D316" s="59" t="s">
        <v>250</v>
      </c>
      <c r="E316" s="59" t="s">
        <v>675</v>
      </c>
      <c r="F316" s="59" t="s">
        <v>177</v>
      </c>
      <c r="G316" s="59"/>
      <c r="H316" s="60" t="s">
        <v>676</v>
      </c>
      <c r="I316" s="55" t="s">
        <v>677</v>
      </c>
      <c r="J316" s="61" t="str">
        <f t="shared" si="12"/>
        <v>GoldUbro-Union of Brazilian Refiners</v>
      </c>
      <c r="K316" s="61" t="str">
        <f t="shared" si="13"/>
        <v>GoldUbro-Union of Brazilian Refiners</v>
      </c>
    </row>
    <row r="317" spans="1:11">
      <c r="A317" s="59" t="s">
        <v>148</v>
      </c>
      <c r="B317" s="59" t="s">
        <v>976</v>
      </c>
      <c r="C317" s="59" t="s">
        <v>704</v>
      </c>
      <c r="D317" s="59" t="s">
        <v>705</v>
      </c>
      <c r="E317" s="59" t="s">
        <v>706</v>
      </c>
      <c r="F317" s="59" t="s">
        <v>177</v>
      </c>
      <c r="G317" s="59"/>
      <c r="H317" s="60" t="s">
        <v>707</v>
      </c>
      <c r="I317" s="55" t="s">
        <v>708</v>
      </c>
      <c r="J317" s="61" t="str">
        <f t="shared" si="12"/>
        <v>GoldUmicore Precious Metals Refining Hoboken</v>
      </c>
      <c r="K317" s="61" t="str">
        <f t="shared" si="13"/>
        <v>GoldUmicore Precious Metals Refining Hoboken</v>
      </c>
    </row>
    <row r="318" spans="1:11">
      <c r="A318" s="59" t="s">
        <v>148</v>
      </c>
      <c r="B318" s="59" t="s">
        <v>977</v>
      </c>
      <c r="C318" s="59" t="s">
        <v>977</v>
      </c>
      <c r="D318" s="59" t="s">
        <v>978</v>
      </c>
      <c r="E318" s="59" t="s">
        <v>979</v>
      </c>
      <c r="F318" s="59" t="s">
        <v>177</v>
      </c>
      <c r="G318" s="59"/>
      <c r="H318" s="60" t="s">
        <v>980</v>
      </c>
      <c r="I318" s="55" t="s">
        <v>981</v>
      </c>
      <c r="J318" s="61" t="str">
        <f t="shared" si="12"/>
        <v>GoldUmicore Precious Metals Thailand</v>
      </c>
      <c r="K318" s="61" t="str">
        <f t="shared" si="13"/>
        <v>GoldUmicore Precious Metals Thailand</v>
      </c>
    </row>
    <row r="319" spans="1:11">
      <c r="A319" s="59" t="s">
        <v>148</v>
      </c>
      <c r="B319" s="59" t="s">
        <v>704</v>
      </c>
      <c r="C319" s="59" t="s">
        <v>704</v>
      </c>
      <c r="D319" s="59" t="s">
        <v>705</v>
      </c>
      <c r="E319" s="59" t="s">
        <v>706</v>
      </c>
      <c r="F319" s="59" t="s">
        <v>177</v>
      </c>
      <c r="G319" s="59"/>
      <c r="H319" s="60" t="s">
        <v>707</v>
      </c>
      <c r="I319" s="55" t="s">
        <v>708</v>
      </c>
      <c r="J319" s="61" t="str">
        <f t="shared" si="12"/>
        <v>GoldUmicore S.A. Business Unit Precious Metals Refining</v>
      </c>
      <c r="K319" s="61" t="str">
        <f t="shared" si="13"/>
        <v>GoldUmicore S.A. Business Unit Precious Metals Refining</v>
      </c>
    </row>
    <row r="320" spans="1:11">
      <c r="A320" s="59" t="s">
        <v>148</v>
      </c>
      <c r="B320" s="59" t="s">
        <v>982</v>
      </c>
      <c r="C320" s="59" t="s">
        <v>982</v>
      </c>
      <c r="D320" s="59" t="s">
        <v>186</v>
      </c>
      <c r="E320" s="59" t="s">
        <v>983</v>
      </c>
      <c r="F320" s="59" t="s">
        <v>177</v>
      </c>
      <c r="G320" s="59"/>
      <c r="H320" s="60" t="s">
        <v>984</v>
      </c>
      <c r="I320" s="55" t="s">
        <v>681</v>
      </c>
      <c r="J320" s="61" t="str">
        <f t="shared" si="12"/>
        <v>GoldUnited Precious Metal Refining, Inc.</v>
      </c>
      <c r="K320" s="61" t="str">
        <f t="shared" si="13"/>
        <v>GoldUnited Precious Metal Refining, Inc.</v>
      </c>
    </row>
    <row r="321" spans="1:11">
      <c r="A321" s="59" t="s">
        <v>148</v>
      </c>
      <c r="B321" s="59" t="s">
        <v>985</v>
      </c>
      <c r="C321" s="59" t="s">
        <v>985</v>
      </c>
      <c r="D321" s="59" t="s">
        <v>268</v>
      </c>
      <c r="E321" s="59" t="s">
        <v>986</v>
      </c>
      <c r="F321" s="59" t="s">
        <v>177</v>
      </c>
      <c r="G321" s="59"/>
      <c r="H321" s="60" t="s">
        <v>987</v>
      </c>
      <c r="I321" s="55" t="s">
        <v>271</v>
      </c>
      <c r="J321" s="61" t="str">
        <f t="shared" si="12"/>
        <v>GoldValcambi S.A.</v>
      </c>
      <c r="K321" s="61" t="str">
        <f t="shared" si="13"/>
        <v>GoldValcambi S.A.</v>
      </c>
    </row>
    <row r="322" spans="1:11">
      <c r="A322" s="59" t="s">
        <v>148</v>
      </c>
      <c r="B322" s="59" t="s">
        <v>988</v>
      </c>
      <c r="C322" s="59" t="s">
        <v>376</v>
      </c>
      <c r="D322" s="59" t="s">
        <v>257</v>
      </c>
      <c r="E322" s="59" t="s">
        <v>377</v>
      </c>
      <c r="F322" s="59" t="s">
        <v>177</v>
      </c>
      <c r="G322" s="59"/>
      <c r="H322" s="60" t="s">
        <v>378</v>
      </c>
      <c r="I322" s="55" t="s">
        <v>379</v>
      </c>
      <c r="J322" s="61" t="str">
        <f t="shared" si="12"/>
        <v>GoldWangjiaqiao, Wuhua District</v>
      </c>
      <c r="K322" s="61" t="str">
        <f t="shared" si="13"/>
        <v>GoldWangjiaqiao, Wuhua District</v>
      </c>
    </row>
    <row r="323" spans="1:11">
      <c r="A323" s="59" t="s">
        <v>148</v>
      </c>
      <c r="B323" s="59" t="s">
        <v>989</v>
      </c>
      <c r="C323" s="59" t="s">
        <v>989</v>
      </c>
      <c r="D323" s="59" t="s">
        <v>848</v>
      </c>
      <c r="E323" s="59" t="s">
        <v>990</v>
      </c>
      <c r="F323" s="59" t="s">
        <v>177</v>
      </c>
      <c r="G323" s="59"/>
      <c r="H323" s="60" t="s">
        <v>991</v>
      </c>
      <c r="I323" s="55" t="s">
        <v>992</v>
      </c>
      <c r="J323" s="61" t="str">
        <f t="shared" si="12"/>
        <v>GoldWEEEREFINING</v>
      </c>
      <c r="K323" s="61" t="str">
        <f t="shared" si="13"/>
        <v>GoldWEEEREFINING</v>
      </c>
    </row>
    <row r="324" spans="1:11">
      <c r="A324" s="59" t="s">
        <v>148</v>
      </c>
      <c r="B324" s="59" t="s">
        <v>993</v>
      </c>
      <c r="C324" s="59" t="s">
        <v>205</v>
      </c>
      <c r="D324" s="59" t="s">
        <v>181</v>
      </c>
      <c r="E324" s="59" t="s">
        <v>206</v>
      </c>
      <c r="F324" s="59" t="s">
        <v>177</v>
      </c>
      <c r="G324" s="59"/>
      <c r="H324" s="60" t="s">
        <v>207</v>
      </c>
      <c r="I324" s="55" t="s">
        <v>208</v>
      </c>
      <c r="J324" s="61" t="str">
        <f t="shared" ref="J324:J387" si="14">A324&amp;B324</f>
        <v>GoldWestern Australian Mint (T/a The Perth Mint)</v>
      </c>
      <c r="K324" s="61" t="str">
        <f t="shared" ref="K324:K387" si="15">A324&amp;B324</f>
        <v>GoldWestern Australian Mint (T/a The Perth Mint)</v>
      </c>
    </row>
    <row r="325" spans="1:11">
      <c r="A325" s="59" t="s">
        <v>148</v>
      </c>
      <c r="B325" s="59" t="s">
        <v>994</v>
      </c>
      <c r="C325" s="59" t="s">
        <v>994</v>
      </c>
      <c r="D325" s="59" t="s">
        <v>200</v>
      </c>
      <c r="E325" s="59" t="s">
        <v>995</v>
      </c>
      <c r="F325" s="59" t="s">
        <v>177</v>
      </c>
      <c r="G325" s="59"/>
      <c r="H325" s="60" t="s">
        <v>202</v>
      </c>
      <c r="I325" s="55" t="s">
        <v>203</v>
      </c>
      <c r="J325" s="61" t="str">
        <f t="shared" si="14"/>
        <v>GoldWIELAND Edelmetalle GmbH</v>
      </c>
      <c r="K325" s="61" t="str">
        <f t="shared" si="15"/>
        <v>GoldWIELAND Edelmetalle GmbH</v>
      </c>
    </row>
    <row r="326" spans="1:11">
      <c r="A326" s="59" t="s">
        <v>148</v>
      </c>
      <c r="B326" s="59" t="s">
        <v>996</v>
      </c>
      <c r="C326" s="59" t="s">
        <v>678</v>
      </c>
      <c r="D326" s="59" t="s">
        <v>186</v>
      </c>
      <c r="E326" s="59" t="s">
        <v>679</v>
      </c>
      <c r="F326" s="59" t="s">
        <v>177</v>
      </c>
      <c r="G326" s="59"/>
      <c r="H326" s="60" t="s">
        <v>680</v>
      </c>
      <c r="I326" s="55" t="s">
        <v>681</v>
      </c>
      <c r="J326" s="61" t="str">
        <f t="shared" si="14"/>
        <v>GoldWilliams Advanced Materials</v>
      </c>
      <c r="K326" s="61" t="str">
        <f t="shared" si="15"/>
        <v>GoldWilliams Advanced Materials</v>
      </c>
    </row>
    <row r="327" spans="1:11">
      <c r="A327" s="59" t="s">
        <v>148</v>
      </c>
      <c r="B327" s="59" t="s">
        <v>997</v>
      </c>
      <c r="C327" s="59" t="s">
        <v>353</v>
      </c>
      <c r="D327" s="59" t="s">
        <v>274</v>
      </c>
      <c r="E327" s="59" t="s">
        <v>354</v>
      </c>
      <c r="F327" s="59" t="s">
        <v>177</v>
      </c>
      <c r="G327" s="59"/>
      <c r="H327" s="60" t="s">
        <v>355</v>
      </c>
      <c r="I327" s="55" t="s">
        <v>356</v>
      </c>
      <c r="J327" s="61" t="str">
        <f t="shared" si="14"/>
        <v>GoldXstrata</v>
      </c>
      <c r="K327" s="61" t="str">
        <f t="shared" si="15"/>
        <v>GoldXstrata</v>
      </c>
    </row>
    <row r="328" spans="1:11">
      <c r="A328" s="59" t="s">
        <v>148</v>
      </c>
      <c r="B328" s="59" t="s">
        <v>632</v>
      </c>
      <c r="C328" s="59" t="s">
        <v>632</v>
      </c>
      <c r="D328" s="59" t="s">
        <v>213</v>
      </c>
      <c r="E328" s="59" t="s">
        <v>633</v>
      </c>
      <c r="F328" s="59" t="s">
        <v>177</v>
      </c>
      <c r="G328" s="59"/>
      <c r="H328" s="59" t="s">
        <v>634</v>
      </c>
      <c r="I328" s="59" t="s">
        <v>635</v>
      </c>
      <c r="J328" s="61" t="str">
        <f t="shared" si="14"/>
        <v>GoldYamakin Co., Ltd.</v>
      </c>
      <c r="K328" s="61" t="str">
        <f t="shared" si="15"/>
        <v>GoldYamakin Co., Ltd.</v>
      </c>
    </row>
    <row r="329" spans="1:11">
      <c r="A329" s="59" t="s">
        <v>148</v>
      </c>
      <c r="B329" s="59" t="s">
        <v>998</v>
      </c>
      <c r="C329" s="59" t="s">
        <v>632</v>
      </c>
      <c r="D329" s="59" t="s">
        <v>213</v>
      </c>
      <c r="E329" s="59" t="s">
        <v>633</v>
      </c>
      <c r="F329" s="59" t="s">
        <v>177</v>
      </c>
      <c r="G329" s="59"/>
      <c r="H329" s="59" t="s">
        <v>634</v>
      </c>
      <c r="I329" s="59" t="s">
        <v>635</v>
      </c>
      <c r="J329" s="61" t="str">
        <f t="shared" si="14"/>
        <v>GoldYamamoto Precious Co., Ltd.</v>
      </c>
      <c r="K329" s="61" t="str">
        <f t="shared" si="15"/>
        <v>GoldYamamoto Precious Co., Ltd.</v>
      </c>
    </row>
    <row r="330" spans="1:11">
      <c r="A330" s="59" t="s">
        <v>148</v>
      </c>
      <c r="B330" s="59" t="s">
        <v>999</v>
      </c>
      <c r="C330" s="59" t="s">
        <v>632</v>
      </c>
      <c r="D330" s="59" t="s">
        <v>213</v>
      </c>
      <c r="E330" s="59" t="s">
        <v>633</v>
      </c>
      <c r="F330" s="59" t="s">
        <v>177</v>
      </c>
      <c r="G330" s="59"/>
      <c r="H330" s="59" t="s">
        <v>634</v>
      </c>
      <c r="I330" s="59" t="s">
        <v>635</v>
      </c>
      <c r="J330" s="61" t="str">
        <f t="shared" si="14"/>
        <v>GoldYamamoto Precious Metal Co., Ltd.</v>
      </c>
      <c r="K330" s="61" t="str">
        <f t="shared" si="15"/>
        <v>GoldYamamoto Precious Metal Co., Ltd.</v>
      </c>
    </row>
    <row r="331" spans="1:11">
      <c r="A331" s="59" t="s">
        <v>148</v>
      </c>
      <c r="B331" s="59" t="s">
        <v>1000</v>
      </c>
      <c r="C331" s="59" t="s">
        <v>632</v>
      </c>
      <c r="D331" s="59" t="s">
        <v>213</v>
      </c>
      <c r="E331" s="59" t="s">
        <v>633</v>
      </c>
      <c r="F331" s="59" t="s">
        <v>177</v>
      </c>
      <c r="G331" s="59"/>
      <c r="H331" s="59" t="s">
        <v>634</v>
      </c>
      <c r="I331" s="59" t="s">
        <v>635</v>
      </c>
      <c r="J331" s="61" t="str">
        <f t="shared" si="14"/>
        <v>GoldYamamoto Precision Metals</v>
      </c>
      <c r="K331" s="61" t="str">
        <f t="shared" si="15"/>
        <v>GoldYamamoto Precision Metals</v>
      </c>
    </row>
    <row r="332" spans="1:11">
      <c r="A332" s="59" t="s">
        <v>148</v>
      </c>
      <c r="B332" s="59" t="s">
        <v>1001</v>
      </c>
      <c r="C332" s="59" t="s">
        <v>443</v>
      </c>
      <c r="D332" s="59" t="s">
        <v>444</v>
      </c>
      <c r="E332" s="59" t="s">
        <v>445</v>
      </c>
      <c r="F332" s="59" t="s">
        <v>177</v>
      </c>
      <c r="G332" s="59"/>
      <c r="H332" s="59" t="s">
        <v>446</v>
      </c>
      <c r="I332" s="59" t="s">
        <v>447</v>
      </c>
      <c r="J332" s="61" t="str">
        <f t="shared" si="14"/>
        <v>GoldYilida Resources Technology Co., Ltd.</v>
      </c>
      <c r="K332" s="61" t="str">
        <f t="shared" si="15"/>
        <v>GoldYilida Resources Technology Co., Ltd.</v>
      </c>
    </row>
    <row r="333" spans="1:11">
      <c r="A333" s="59" t="s">
        <v>148</v>
      </c>
      <c r="B333" s="59" t="s">
        <v>1002</v>
      </c>
      <c r="C333" s="59" t="s">
        <v>1002</v>
      </c>
      <c r="D333" s="59" t="s">
        <v>213</v>
      </c>
      <c r="E333" s="59" t="s">
        <v>1003</v>
      </c>
      <c r="F333" s="59" t="s">
        <v>177</v>
      </c>
      <c r="G333" s="59"/>
      <c r="H333" s="59" t="s">
        <v>1004</v>
      </c>
      <c r="I333" s="59" t="s">
        <v>1005</v>
      </c>
      <c r="J333" s="61" t="str">
        <f t="shared" si="14"/>
        <v>GoldYokohama Metal Co., Ltd.</v>
      </c>
      <c r="K333" s="61" t="str">
        <f t="shared" si="15"/>
        <v>GoldYokohama Metal Co., Ltd.</v>
      </c>
    </row>
    <row r="334" spans="1:11">
      <c r="A334" s="59" t="s">
        <v>148</v>
      </c>
      <c r="B334" s="59" t="s">
        <v>1006</v>
      </c>
      <c r="C334" s="59" t="s">
        <v>376</v>
      </c>
      <c r="D334" s="59" t="s">
        <v>257</v>
      </c>
      <c r="E334" s="59" t="s">
        <v>377</v>
      </c>
      <c r="F334" s="59" t="s">
        <v>177</v>
      </c>
      <c r="G334" s="59"/>
      <c r="H334" s="59" t="s">
        <v>378</v>
      </c>
      <c r="I334" s="59" t="s">
        <v>379</v>
      </c>
      <c r="J334" s="61" t="str">
        <f t="shared" si="14"/>
        <v>GoldYunnan Copper Industry Co., Ltd.</v>
      </c>
      <c r="K334" s="61" t="str">
        <f t="shared" si="15"/>
        <v>GoldYunnan Copper Industry Co., Ltd.</v>
      </c>
    </row>
    <row r="335" spans="1:11">
      <c r="A335" s="59" t="s">
        <v>148</v>
      </c>
      <c r="B335" s="59" t="s">
        <v>376</v>
      </c>
      <c r="C335" s="59" t="s">
        <v>376</v>
      </c>
      <c r="D335" s="59" t="s">
        <v>257</v>
      </c>
      <c r="E335" s="59" t="s">
        <v>377</v>
      </c>
      <c r="F335" s="59" t="s">
        <v>177</v>
      </c>
      <c r="G335" s="59"/>
      <c r="H335" s="59" t="s">
        <v>378</v>
      </c>
      <c r="I335" s="59" t="s">
        <v>379</v>
      </c>
      <c r="J335" s="61" t="str">
        <f t="shared" si="14"/>
        <v>GoldYunnan Copper Southwest Copper Branch</v>
      </c>
      <c r="K335" s="61" t="str">
        <f t="shared" si="15"/>
        <v>GoldYunnan Copper Southwest Copper Branch</v>
      </c>
    </row>
    <row r="336" spans="1:11">
      <c r="A336" s="59" t="s">
        <v>148</v>
      </c>
      <c r="B336" s="59" t="s">
        <v>1007</v>
      </c>
      <c r="C336" s="59" t="s">
        <v>890</v>
      </c>
      <c r="D336" s="59" t="s">
        <v>257</v>
      </c>
      <c r="E336" s="59" t="s">
        <v>891</v>
      </c>
      <c r="F336" s="59" t="s">
        <v>177</v>
      </c>
      <c r="G336" s="59"/>
      <c r="H336" s="59" t="s">
        <v>892</v>
      </c>
      <c r="I336" s="59" t="s">
        <v>394</v>
      </c>
      <c r="J336" s="61" t="str">
        <f t="shared" si="14"/>
        <v>GoldZhao Jin Mining Industry Co Ltd</v>
      </c>
      <c r="K336" s="61" t="str">
        <f t="shared" si="15"/>
        <v>GoldZhao Jin Mining Industry Co Ltd</v>
      </c>
    </row>
    <row r="337" spans="1:11">
      <c r="A337" s="59" t="s">
        <v>148</v>
      </c>
      <c r="B337" s="59" t="s">
        <v>1008</v>
      </c>
      <c r="C337" s="59" t="s">
        <v>890</v>
      </c>
      <c r="D337" s="59" t="s">
        <v>257</v>
      </c>
      <c r="E337" s="59" t="s">
        <v>891</v>
      </c>
      <c r="F337" s="59" t="s">
        <v>177</v>
      </c>
      <c r="G337" s="59"/>
      <c r="H337" s="59" t="s">
        <v>892</v>
      </c>
      <c r="I337" s="59" t="s">
        <v>394</v>
      </c>
      <c r="J337" s="61" t="str">
        <f t="shared" si="14"/>
        <v>GoldZhao Yuan Gold Mine</v>
      </c>
      <c r="K337" s="61" t="str">
        <f t="shared" si="15"/>
        <v>GoldZhao Yuan Gold Mine</v>
      </c>
    </row>
    <row r="338" spans="1:11">
      <c r="A338" s="59" t="s">
        <v>148</v>
      </c>
      <c r="B338" s="59" t="s">
        <v>1009</v>
      </c>
      <c r="C338" s="59" t="s">
        <v>890</v>
      </c>
      <c r="D338" s="59" t="s">
        <v>257</v>
      </c>
      <c r="E338" s="59" t="s">
        <v>891</v>
      </c>
      <c r="F338" s="59" t="s">
        <v>177</v>
      </c>
      <c r="G338" s="59"/>
      <c r="H338" s="59" t="s">
        <v>892</v>
      </c>
      <c r="I338" s="59" t="s">
        <v>394</v>
      </c>
      <c r="J338" s="61" t="str">
        <f t="shared" si="14"/>
        <v>GoldZhao Yuan Gold Smelter of ZhongJin</v>
      </c>
      <c r="K338" s="61" t="str">
        <f t="shared" si="15"/>
        <v>GoldZhao Yuan Gold Smelter of ZhongJin</v>
      </c>
    </row>
    <row r="339" spans="1:11">
      <c r="A339" s="59" t="s">
        <v>148</v>
      </c>
      <c r="B339" s="59" t="s">
        <v>1010</v>
      </c>
      <c r="C339" s="59" t="s">
        <v>890</v>
      </c>
      <c r="D339" s="59" t="s">
        <v>257</v>
      </c>
      <c r="E339" s="59" t="s">
        <v>891</v>
      </c>
      <c r="F339" s="59" t="s">
        <v>177</v>
      </c>
      <c r="G339" s="59"/>
      <c r="H339" s="59" t="s">
        <v>892</v>
      </c>
      <c r="I339" s="59" t="s">
        <v>394</v>
      </c>
      <c r="J339" s="61" t="str">
        <f t="shared" si="14"/>
        <v>GoldZhao Yuan Jin Kuang</v>
      </c>
      <c r="K339" s="61" t="str">
        <f t="shared" si="15"/>
        <v>GoldZhao Yuan Jin Kuang</v>
      </c>
    </row>
    <row r="340" spans="1:11">
      <c r="A340" s="59" t="s">
        <v>148</v>
      </c>
      <c r="B340" s="59" t="s">
        <v>1011</v>
      </c>
      <c r="C340" s="59" t="s">
        <v>890</v>
      </c>
      <c r="D340" s="59" t="s">
        <v>257</v>
      </c>
      <c r="E340" s="59" t="s">
        <v>891</v>
      </c>
      <c r="F340" s="59" t="s">
        <v>177</v>
      </c>
      <c r="G340" s="59"/>
      <c r="H340" s="59" t="s">
        <v>892</v>
      </c>
      <c r="I340" s="59" t="s">
        <v>394</v>
      </c>
      <c r="J340" s="61" t="str">
        <f t="shared" si="14"/>
        <v>GoldZhaojin Mining Industry Co., Ltd.</v>
      </c>
      <c r="K340" s="61" t="str">
        <f t="shared" si="15"/>
        <v>GoldZhaojin Mining Industry Co., Ltd.</v>
      </c>
    </row>
    <row r="341" spans="1:11">
      <c r="A341" s="59" t="s">
        <v>148</v>
      </c>
      <c r="B341" s="59" t="s">
        <v>1012</v>
      </c>
      <c r="C341" s="59" t="s">
        <v>890</v>
      </c>
      <c r="D341" s="59" t="s">
        <v>257</v>
      </c>
      <c r="E341" s="59" t="s">
        <v>891</v>
      </c>
      <c r="F341" s="59" t="s">
        <v>177</v>
      </c>
      <c r="G341" s="59"/>
      <c r="H341" s="59" t="s">
        <v>892</v>
      </c>
      <c r="I341" s="59" t="s">
        <v>394</v>
      </c>
      <c r="J341" s="61" t="str">
        <f t="shared" si="14"/>
        <v>Goldzhaojinjinyinyelian</v>
      </c>
      <c r="K341" s="61" t="str">
        <f t="shared" si="15"/>
        <v>Goldzhaojinjinyinyelian</v>
      </c>
    </row>
    <row r="342" spans="1:11">
      <c r="A342" s="59" t="s">
        <v>148</v>
      </c>
      <c r="B342" s="59" t="s">
        <v>1013</v>
      </c>
      <c r="C342" s="59" t="s">
        <v>890</v>
      </c>
      <c r="D342" s="59" t="s">
        <v>257</v>
      </c>
      <c r="E342" s="59" t="s">
        <v>891</v>
      </c>
      <c r="F342" s="59" t="s">
        <v>177</v>
      </c>
      <c r="G342" s="59"/>
      <c r="H342" s="59" t="s">
        <v>892</v>
      </c>
      <c r="I342" s="59" t="s">
        <v>394</v>
      </c>
      <c r="J342" s="61" t="str">
        <f t="shared" si="14"/>
        <v>GoldZhaoyuan Gold Group</v>
      </c>
      <c r="K342" s="61" t="str">
        <f t="shared" si="15"/>
        <v>GoldZhaoyuan Gold Group</v>
      </c>
    </row>
    <row r="343" spans="1:11">
      <c r="A343" s="59" t="s">
        <v>148</v>
      </c>
      <c r="B343" s="59" t="s">
        <v>1014</v>
      </c>
      <c r="C343" s="59" t="s">
        <v>386</v>
      </c>
      <c r="D343" s="59" t="s">
        <v>257</v>
      </c>
      <c r="E343" s="59" t="s">
        <v>387</v>
      </c>
      <c r="F343" s="59" t="s">
        <v>177</v>
      </c>
      <c r="G343" s="59"/>
      <c r="H343" s="59" t="s">
        <v>388</v>
      </c>
      <c r="I343" s="59" t="s">
        <v>389</v>
      </c>
      <c r="J343" s="61" t="str">
        <f t="shared" si="14"/>
        <v>GoldZhongjin Gold Corporation Limited</v>
      </c>
      <c r="K343" s="61" t="str">
        <f t="shared" si="15"/>
        <v>GoldZhongjin Gold Corporation Limited</v>
      </c>
    </row>
    <row r="344" spans="1:11">
      <c r="A344" s="59" t="s">
        <v>148</v>
      </c>
      <c r="B344" s="59" t="s">
        <v>386</v>
      </c>
      <c r="C344" s="59" t="s">
        <v>386</v>
      </c>
      <c r="D344" s="59" t="s">
        <v>257</v>
      </c>
      <c r="E344" s="59" t="s">
        <v>387</v>
      </c>
      <c r="F344" s="59" t="s">
        <v>177</v>
      </c>
      <c r="G344" s="59"/>
      <c r="H344" s="59" t="s">
        <v>388</v>
      </c>
      <c r="I344" s="59" t="s">
        <v>389</v>
      </c>
      <c r="J344" s="61" t="str">
        <f t="shared" si="14"/>
        <v>GoldZhongyuan Gold Smelter of Zhongjin Gold Corporation</v>
      </c>
      <c r="K344" s="61" t="str">
        <f t="shared" si="15"/>
        <v>GoldZhongyuan Gold Smelter of Zhongjin Gold Corporation</v>
      </c>
    </row>
    <row r="345" spans="1:11">
      <c r="A345" s="59" t="s">
        <v>148</v>
      </c>
      <c r="B345" s="59" t="s">
        <v>1015</v>
      </c>
      <c r="C345" s="59" t="s">
        <v>486</v>
      </c>
      <c r="D345" s="59" t="s">
        <v>257</v>
      </c>
      <c r="E345" s="59" t="s">
        <v>487</v>
      </c>
      <c r="F345" s="59" t="s">
        <v>177</v>
      </c>
      <c r="G345" s="59"/>
      <c r="H345" s="59" t="s">
        <v>488</v>
      </c>
      <c r="I345" s="59" t="s">
        <v>489</v>
      </c>
      <c r="J345" s="61" t="str">
        <f t="shared" si="14"/>
        <v>GoldZijin Kuang Ye Refinery</v>
      </c>
      <c r="K345" s="61" t="str">
        <f t="shared" si="15"/>
        <v>GoldZijin Kuang Ye Refinery</v>
      </c>
    </row>
    <row r="346" spans="1:11">
      <c r="A346" s="59" t="s">
        <v>148</v>
      </c>
      <c r="B346" s="59" t="s">
        <v>486</v>
      </c>
      <c r="C346" s="59" t="s">
        <v>486</v>
      </c>
      <c r="D346" s="59" t="s">
        <v>257</v>
      </c>
      <c r="E346" s="59" t="s">
        <v>487</v>
      </c>
      <c r="F346" s="59" t="s">
        <v>177</v>
      </c>
      <c r="G346" s="59"/>
      <c r="H346" s="59" t="s">
        <v>488</v>
      </c>
      <c r="I346" s="59" t="s">
        <v>489</v>
      </c>
      <c r="J346" s="61" t="str">
        <f t="shared" si="14"/>
        <v>GoldZijin Mining Group Gold Smelting Co. Ltd.</v>
      </c>
      <c r="K346" s="61" t="str">
        <f t="shared" si="15"/>
        <v>GoldZijin Mining Group Gold Smelting Co. Ltd.</v>
      </c>
    </row>
    <row r="347" spans="1:11">
      <c r="A347" s="59" t="s">
        <v>148</v>
      </c>
      <c r="B347" s="59" t="s">
        <v>1016</v>
      </c>
      <c r="C347" s="59" t="s">
        <v>486</v>
      </c>
      <c r="D347" s="59" t="s">
        <v>257</v>
      </c>
      <c r="E347" s="59" t="s">
        <v>487</v>
      </c>
      <c r="F347" s="59" t="s">
        <v>177</v>
      </c>
      <c r="G347" s="59"/>
      <c r="H347" s="59" t="s">
        <v>488</v>
      </c>
      <c r="I347" s="59" t="s">
        <v>489</v>
      </c>
      <c r="J347" s="61" t="str">
        <f t="shared" si="14"/>
        <v>GoldZijin Mining Industry Corporation</v>
      </c>
      <c r="K347" s="61" t="str">
        <f t="shared" si="15"/>
        <v>GoldZijin Mining Industry Corporation</v>
      </c>
    </row>
    <row r="348" spans="1:11">
      <c r="A348" s="59" t="s">
        <v>148</v>
      </c>
      <c r="B348" s="59" t="s">
        <v>1017</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1018</v>
      </c>
      <c r="C350" s="59" t="s">
        <v>1018</v>
      </c>
      <c r="D350" s="59" t="s">
        <v>1019</v>
      </c>
      <c r="E350" s="59" t="s">
        <v>1020</v>
      </c>
      <c r="F350" s="59" t="s">
        <v>177</v>
      </c>
      <c r="G350" s="59"/>
      <c r="H350" s="59" t="s">
        <v>1021</v>
      </c>
      <c r="I350" s="59" t="s">
        <v>1021</v>
      </c>
      <c r="J350" s="61" t="str">
        <f t="shared" si="14"/>
        <v>Tantalum5D Production OU</v>
      </c>
      <c r="K350" s="61" t="str">
        <f t="shared" si="15"/>
        <v>Tantalum5D Production OU</v>
      </c>
    </row>
    <row r="351" spans="1:11">
      <c r="A351" s="59" t="s">
        <v>145</v>
      </c>
      <c r="B351" s="59" t="s">
        <v>1022</v>
      </c>
      <c r="C351" s="59" t="s">
        <v>1018</v>
      </c>
      <c r="D351" s="59" t="s">
        <v>1019</v>
      </c>
      <c r="E351" s="59" t="s">
        <v>1020</v>
      </c>
      <c r="F351" s="59" t="s">
        <v>177</v>
      </c>
      <c r="G351" s="59"/>
      <c r="H351" s="59" t="s">
        <v>1021</v>
      </c>
      <c r="I351" s="59" t="s">
        <v>1021</v>
      </c>
      <c r="J351" s="61" t="str">
        <f t="shared" si="14"/>
        <v>Tantalum5D Production OÜ</v>
      </c>
      <c r="K351" s="61" t="str">
        <f t="shared" si="15"/>
        <v>Tantalum5D Production OÜ</v>
      </c>
    </row>
    <row r="352" spans="1:11">
      <c r="A352" s="59" t="s">
        <v>145</v>
      </c>
      <c r="B352" s="59" t="s">
        <v>1023</v>
      </c>
      <c r="C352" s="59" t="s">
        <v>1023</v>
      </c>
      <c r="D352" s="59" t="s">
        <v>250</v>
      </c>
      <c r="E352" s="59" t="s">
        <v>1024</v>
      </c>
      <c r="F352" s="59" t="s">
        <v>177</v>
      </c>
      <c r="G352" s="59"/>
      <c r="H352" s="59" t="s">
        <v>1025</v>
      </c>
      <c r="I352" s="59" t="s">
        <v>253</v>
      </c>
      <c r="J352" s="61" t="str">
        <f t="shared" si="14"/>
        <v>TantalumAMG Brasil</v>
      </c>
      <c r="K352" s="61" t="str">
        <f t="shared" si="15"/>
        <v>TantalumAMG Brasil</v>
      </c>
    </row>
    <row r="353" spans="1:11">
      <c r="A353" s="59" t="s">
        <v>145</v>
      </c>
      <c r="B353" s="59" t="s">
        <v>1026</v>
      </c>
      <c r="C353" s="59" t="s">
        <v>1027</v>
      </c>
      <c r="D353" s="59" t="s">
        <v>257</v>
      </c>
      <c r="E353" s="59" t="s">
        <v>1028</v>
      </c>
      <c r="F353" s="59" t="s">
        <v>177</v>
      </c>
      <c r="G353" s="59"/>
      <c r="H353" s="59" t="s">
        <v>1029</v>
      </c>
      <c r="I353" s="59" t="s">
        <v>897</v>
      </c>
      <c r="J353" s="61" t="str">
        <f t="shared" si="14"/>
        <v>TantalumConghua Tantalum and Niobium Smeltry</v>
      </c>
      <c r="K353" s="61" t="str">
        <f t="shared" si="15"/>
        <v>TantalumConghua Tantalum and Niobium Smeltry</v>
      </c>
    </row>
    <row r="354" spans="1:11">
      <c r="A354" s="59" t="s">
        <v>145</v>
      </c>
      <c r="B354" s="59" t="s">
        <v>1030</v>
      </c>
      <c r="C354" s="59" t="s">
        <v>1030</v>
      </c>
      <c r="D354" s="59" t="s">
        <v>186</v>
      </c>
      <c r="E354" s="59" t="s">
        <v>1031</v>
      </c>
      <c r="F354" s="59" t="s">
        <v>177</v>
      </c>
      <c r="G354" s="59"/>
      <c r="H354" s="59" t="s">
        <v>1032</v>
      </c>
      <c r="I354" s="59" t="s">
        <v>702</v>
      </c>
      <c r="J354" s="61" t="str">
        <f t="shared" si="14"/>
        <v>TantalumD Block Metals, LLC</v>
      </c>
      <c r="K354" s="61" t="str">
        <f t="shared" si="15"/>
        <v>TantalumD Block Metals, LLC</v>
      </c>
    </row>
    <row r="355" spans="1:11">
      <c r="A355" s="59" t="s">
        <v>145</v>
      </c>
      <c r="B355" s="59" t="s">
        <v>1033</v>
      </c>
      <c r="C355" s="59" t="s">
        <v>1034</v>
      </c>
      <c r="D355" s="59" t="s">
        <v>257</v>
      </c>
      <c r="E355" s="59" t="s">
        <v>1035</v>
      </c>
      <c r="F355" s="59" t="s">
        <v>177</v>
      </c>
      <c r="G355" s="59"/>
      <c r="H355" s="59" t="s">
        <v>1036</v>
      </c>
      <c r="I355" s="59" t="s">
        <v>897</v>
      </c>
      <c r="J355" s="61" t="str">
        <f t="shared" si="14"/>
        <v>TantalumF &amp; X</v>
      </c>
      <c r="K355" s="61" t="str">
        <f t="shared" si="15"/>
        <v>TantalumF &amp; X</v>
      </c>
    </row>
    <row r="356" spans="1:11">
      <c r="A356" s="59" t="s">
        <v>145</v>
      </c>
      <c r="B356" s="59" t="s">
        <v>1034</v>
      </c>
      <c r="C356" s="59" t="s">
        <v>1034</v>
      </c>
      <c r="D356" s="59" t="s">
        <v>257</v>
      </c>
      <c r="E356" s="59" t="s">
        <v>1035</v>
      </c>
      <c r="F356" s="59" t="s">
        <v>177</v>
      </c>
      <c r="G356" s="59"/>
      <c r="H356" s="59" t="s">
        <v>1036</v>
      </c>
      <c r="I356" s="59" t="s">
        <v>897</v>
      </c>
      <c r="J356" s="61" t="str">
        <f t="shared" si="14"/>
        <v>TantalumF&amp;X Electro-Materials Ltd.</v>
      </c>
      <c r="K356" s="61" t="str">
        <f t="shared" si="15"/>
        <v>TantalumF&amp;X Electro-Materials Ltd.</v>
      </c>
    </row>
    <row r="357" spans="1:11">
      <c r="A357" s="59" t="s">
        <v>145</v>
      </c>
      <c r="B357" s="59" t="s">
        <v>1037</v>
      </c>
      <c r="C357" s="59" t="s">
        <v>1037</v>
      </c>
      <c r="D357" s="59" t="s">
        <v>257</v>
      </c>
      <c r="E357" s="59" t="s">
        <v>1038</v>
      </c>
      <c r="F357" s="59" t="s">
        <v>177</v>
      </c>
      <c r="G357" s="59"/>
      <c r="H357" s="59" t="s">
        <v>1039</v>
      </c>
      <c r="I357" s="59" t="s">
        <v>549</v>
      </c>
      <c r="J357" s="61" t="str">
        <f t="shared" si="14"/>
        <v>TantalumFIR Metals &amp; Resource Ltd.</v>
      </c>
      <c r="K357" s="61" t="str">
        <f t="shared" si="15"/>
        <v>TantalumFIR Metals &amp; Resource Ltd.</v>
      </c>
    </row>
    <row r="358" spans="1:11">
      <c r="A358" s="59" t="s">
        <v>145</v>
      </c>
      <c r="B358" s="59" t="s">
        <v>1040</v>
      </c>
      <c r="C358" s="59" t="s">
        <v>1040</v>
      </c>
      <c r="D358" s="59" t="s">
        <v>213</v>
      </c>
      <c r="E358" s="59" t="s">
        <v>1041</v>
      </c>
      <c r="F358" s="59" t="s">
        <v>177</v>
      </c>
      <c r="G358" s="59"/>
      <c r="H358" s="59" t="s">
        <v>1042</v>
      </c>
      <c r="I358" s="59" t="s">
        <v>285</v>
      </c>
      <c r="J358" s="61" t="str">
        <f t="shared" si="14"/>
        <v>TantalumGlobal Advanced Metals Aizu</v>
      </c>
      <c r="K358" s="61" t="str">
        <f t="shared" si="15"/>
        <v>TantalumGlobal Advanced Metals Aizu</v>
      </c>
    </row>
    <row r="359" spans="1:11">
      <c r="A359" s="59" t="s">
        <v>145</v>
      </c>
      <c r="B359" s="59" t="s">
        <v>1043</v>
      </c>
      <c r="C359" s="59" t="s">
        <v>1043</v>
      </c>
      <c r="D359" s="59" t="s">
        <v>186</v>
      </c>
      <c r="E359" s="59" t="s">
        <v>1044</v>
      </c>
      <c r="F359" s="59" t="s">
        <v>177</v>
      </c>
      <c r="G359" s="59"/>
      <c r="H359" s="59" t="s">
        <v>1045</v>
      </c>
      <c r="I359" s="59" t="s">
        <v>189</v>
      </c>
      <c r="J359" s="61" t="str">
        <f t="shared" si="14"/>
        <v>TantalumGlobal Advanced Metals Boyertown</v>
      </c>
      <c r="K359" s="61" t="str">
        <f t="shared" si="15"/>
        <v>TantalumGlobal Advanced Metals Boyertown</v>
      </c>
    </row>
    <row r="360" spans="1:11">
      <c r="A360" s="59" t="s">
        <v>145</v>
      </c>
      <c r="B360" s="59" t="s">
        <v>1027</v>
      </c>
      <c r="C360" s="59" t="s">
        <v>1027</v>
      </c>
      <c r="D360" s="59" t="s">
        <v>257</v>
      </c>
      <c r="E360" s="59" t="s">
        <v>1028</v>
      </c>
      <c r="F360" s="59" t="s">
        <v>177</v>
      </c>
      <c r="G360" s="59"/>
      <c r="H360" s="59" t="s">
        <v>1029</v>
      </c>
      <c r="I360" s="59" t="s">
        <v>897</v>
      </c>
      <c r="J360" s="61" t="str">
        <f t="shared" si="14"/>
        <v>TantalumGuangdong Rising Rare Metals-EO Materials Ltd.</v>
      </c>
      <c r="K360" s="61" t="str">
        <f t="shared" si="15"/>
        <v>TantalumGuangdong Rising Rare Metals-EO Materials Ltd.</v>
      </c>
    </row>
    <row r="361" spans="1:11">
      <c r="A361" s="59" t="s">
        <v>145</v>
      </c>
      <c r="B361" s="59" t="s">
        <v>1046</v>
      </c>
      <c r="C361" s="59" t="s">
        <v>1047</v>
      </c>
      <c r="D361" s="59" t="s">
        <v>257</v>
      </c>
      <c r="E361" s="59" t="s">
        <v>1048</v>
      </c>
      <c r="F361" s="59" t="s">
        <v>177</v>
      </c>
      <c r="G361" s="59"/>
      <c r="H361" s="59" t="s">
        <v>1029</v>
      </c>
      <c r="I361" s="59" t="s">
        <v>897</v>
      </c>
      <c r="J361" s="61" t="str">
        <f t="shared" si="14"/>
        <v>TantalumGuangdong Zhiyuan New Material Co., Ltd.</v>
      </c>
      <c r="K361" s="61" t="str">
        <f t="shared" si="15"/>
        <v>TantalumGuangdong Zhiyuan New Material Co., Ltd.</v>
      </c>
    </row>
    <row r="362" spans="1:11">
      <c r="A362" s="59" t="s">
        <v>145</v>
      </c>
      <c r="B362" s="59" t="s">
        <v>1049</v>
      </c>
      <c r="C362" s="59" t="s">
        <v>1050</v>
      </c>
      <c r="D362" s="59" t="s">
        <v>978</v>
      </c>
      <c r="E362" s="59" t="s">
        <v>1051</v>
      </c>
      <c r="F362" s="59" t="s">
        <v>177</v>
      </c>
      <c r="G362" s="59"/>
      <c r="H362" s="59" t="s">
        <v>1052</v>
      </c>
      <c r="I362" s="59" t="s">
        <v>1053</v>
      </c>
      <c r="J362" s="61" t="str">
        <f t="shared" si="14"/>
        <v>TantalumH.C. Starck Co., Ltd.</v>
      </c>
      <c r="K362" s="61" t="str">
        <f t="shared" si="15"/>
        <v>TantalumH.C. Starck Co., Ltd.</v>
      </c>
    </row>
    <row r="363" spans="1:11">
      <c r="A363" s="59" t="s">
        <v>145</v>
      </c>
      <c r="B363" s="59" t="s">
        <v>1054</v>
      </c>
      <c r="C363" s="59" t="s">
        <v>1055</v>
      </c>
      <c r="D363" s="59" t="s">
        <v>186</v>
      </c>
      <c r="E363" s="59" t="s">
        <v>1056</v>
      </c>
      <c r="F363" s="59" t="s">
        <v>177</v>
      </c>
      <c r="G363" s="59"/>
      <c r="H363" s="59" t="s">
        <v>1057</v>
      </c>
      <c r="I363" s="59" t="s">
        <v>728</v>
      </c>
      <c r="J363" s="61" t="str">
        <f t="shared" si="14"/>
        <v>TantalumH.C. Starck Inc.</v>
      </c>
      <c r="K363" s="61" t="str">
        <f t="shared" si="15"/>
        <v>TantalumH.C. Starck Inc.</v>
      </c>
    </row>
    <row r="364" spans="1:11">
      <c r="A364" s="59" t="s">
        <v>145</v>
      </c>
      <c r="B364" s="59" t="s">
        <v>1058</v>
      </c>
      <c r="C364" s="59" t="s">
        <v>1059</v>
      </c>
      <c r="D364" s="59" t="s">
        <v>213</v>
      </c>
      <c r="E364" s="59" t="s">
        <v>1060</v>
      </c>
      <c r="F364" s="59" t="s">
        <v>177</v>
      </c>
      <c r="G364" s="59"/>
      <c r="H364" s="59" t="s">
        <v>1061</v>
      </c>
      <c r="I364" s="59" t="s">
        <v>247</v>
      </c>
      <c r="J364" s="61" t="str">
        <f t="shared" si="14"/>
        <v>TantalumH.C. Starck Ltd.</v>
      </c>
      <c r="K364" s="61" t="str">
        <f t="shared" si="15"/>
        <v>TantalumH.C. Starck Ltd.</v>
      </c>
    </row>
    <row r="365" spans="1:11">
      <c r="A365" s="59" t="s">
        <v>145</v>
      </c>
      <c r="B365" s="59" t="s">
        <v>1062</v>
      </c>
      <c r="C365" s="59" t="s">
        <v>1063</v>
      </c>
      <c r="D365" s="59" t="s">
        <v>200</v>
      </c>
      <c r="E365" s="59" t="s">
        <v>1064</v>
      </c>
      <c r="F365" s="59" t="s">
        <v>177</v>
      </c>
      <c r="G365" s="59"/>
      <c r="H365" s="59" t="s">
        <v>1065</v>
      </c>
      <c r="I365" s="59" t="s">
        <v>203</v>
      </c>
      <c r="J365" s="61" t="str">
        <f t="shared" si="14"/>
        <v>TantalumH.C. Starck Smelting GmbH &amp; Co. KG</v>
      </c>
      <c r="K365" s="61" t="str">
        <f t="shared" si="15"/>
        <v>TantalumH.C. Starck Smelting GmbH &amp; Co. KG</v>
      </c>
    </row>
    <row r="366" spans="1:11">
      <c r="A366" s="59" t="s">
        <v>145</v>
      </c>
      <c r="B366" s="59" t="s">
        <v>1066</v>
      </c>
      <c r="C366" s="59" t="s">
        <v>1067</v>
      </c>
      <c r="D366" s="59" t="s">
        <v>200</v>
      </c>
      <c r="E366" s="59" t="s">
        <v>1068</v>
      </c>
      <c r="F366" s="59" t="s">
        <v>177</v>
      </c>
      <c r="G366" s="59"/>
      <c r="H366" s="59" t="s">
        <v>1069</v>
      </c>
      <c r="I366" s="59" t="s">
        <v>1070</v>
      </c>
      <c r="J366" s="61" t="str">
        <f t="shared" si="14"/>
        <v>TantalumH.C. Starck Tantalum and Niobium GmbH</v>
      </c>
      <c r="K366" s="61" t="str">
        <f t="shared" si="15"/>
        <v>TantalumH.C. Starck Tantalum and Niobium GmbH</v>
      </c>
    </row>
    <row r="367" spans="1:11">
      <c r="A367" s="59" t="s">
        <v>145</v>
      </c>
      <c r="B367" s="59" t="s">
        <v>1071</v>
      </c>
      <c r="C367" s="59" t="s">
        <v>1071</v>
      </c>
      <c r="D367" s="59" t="s">
        <v>257</v>
      </c>
      <c r="E367" s="59" t="s">
        <v>1072</v>
      </c>
      <c r="F367" s="59" t="s">
        <v>177</v>
      </c>
      <c r="G367" s="59"/>
      <c r="H367" s="59" t="s">
        <v>1073</v>
      </c>
      <c r="I367" s="59" t="s">
        <v>549</v>
      </c>
      <c r="J367" s="61" t="str">
        <f t="shared" si="14"/>
        <v>TantalumHengyang King Xing Lifeng New Materials Co., Ltd.</v>
      </c>
      <c r="K367" s="61" t="str">
        <f t="shared" si="15"/>
        <v>TantalumHengyang King Xing Lifeng New Materials Co., Ltd.</v>
      </c>
    </row>
    <row r="368" spans="1:11">
      <c r="A368" s="59" t="s">
        <v>145</v>
      </c>
      <c r="B368" s="59" t="s">
        <v>1074</v>
      </c>
      <c r="C368" s="59" t="s">
        <v>1074</v>
      </c>
      <c r="D368" s="59" t="s">
        <v>257</v>
      </c>
      <c r="E368" s="59" t="s">
        <v>1075</v>
      </c>
      <c r="F368" s="59" t="s">
        <v>177</v>
      </c>
      <c r="G368" s="59"/>
      <c r="H368" s="59" t="s">
        <v>1076</v>
      </c>
      <c r="I368" s="59" t="s">
        <v>593</v>
      </c>
      <c r="J368" s="61" t="str">
        <f t="shared" si="14"/>
        <v>TantalumJiangxi Dinghai Tantalum &amp; Niobium Co., Ltd.</v>
      </c>
      <c r="K368" s="61" t="str">
        <f t="shared" si="15"/>
        <v>TantalumJiangxi Dinghai Tantalum &amp; Niobium Co., Ltd.</v>
      </c>
    </row>
    <row r="369" spans="1:11">
      <c r="A369" s="59" t="s">
        <v>145</v>
      </c>
      <c r="B369" s="59" t="s">
        <v>1077</v>
      </c>
      <c r="C369" s="59" t="s">
        <v>1078</v>
      </c>
      <c r="D369" s="59" t="s">
        <v>257</v>
      </c>
      <c r="E369" s="59" t="s">
        <v>1079</v>
      </c>
      <c r="F369" s="59" t="s">
        <v>177</v>
      </c>
      <c r="G369" s="59"/>
      <c r="H369" s="59" t="s">
        <v>1080</v>
      </c>
      <c r="I369" s="59" t="s">
        <v>593</v>
      </c>
      <c r="J369" s="61" t="str">
        <f t="shared" si="14"/>
        <v>TantalumJiangxi Sanshi Nonferrous Metals Co., Ltd</v>
      </c>
      <c r="K369" s="61" t="str">
        <f t="shared" si="15"/>
        <v>TantalumJiangxi Sanshi Nonferrous Metals Co., Ltd</v>
      </c>
    </row>
    <row r="370" spans="1:11">
      <c r="A370" s="59" t="s">
        <v>145</v>
      </c>
      <c r="B370" s="59" t="s">
        <v>1078</v>
      </c>
      <c r="C370" s="59" t="s">
        <v>1078</v>
      </c>
      <c r="D370" s="59" t="s">
        <v>257</v>
      </c>
      <c r="E370" s="59" t="s">
        <v>1079</v>
      </c>
      <c r="F370" s="59" t="s">
        <v>177</v>
      </c>
      <c r="G370" s="59"/>
      <c r="H370" s="59" t="s">
        <v>1080</v>
      </c>
      <c r="I370" s="59" t="s">
        <v>593</v>
      </c>
      <c r="J370" s="61" t="str">
        <f t="shared" si="14"/>
        <v>TantalumJiangxi Suns Nonferrous Materials Co. Ltd.</v>
      </c>
      <c r="K370" s="61" t="str">
        <f t="shared" si="15"/>
        <v>TantalumJiangxi Suns Nonferrous Materials Co. Ltd.</v>
      </c>
    </row>
    <row r="371" spans="1:11">
      <c r="A371" s="59" t="s">
        <v>145</v>
      </c>
      <c r="B371" s="59" t="s">
        <v>1081</v>
      </c>
      <c r="C371" s="59" t="s">
        <v>1081</v>
      </c>
      <c r="D371" s="59" t="s">
        <v>257</v>
      </c>
      <c r="E371" s="59" t="s">
        <v>1082</v>
      </c>
      <c r="F371" s="59" t="s">
        <v>177</v>
      </c>
      <c r="G371" s="59"/>
      <c r="H371" s="59" t="s">
        <v>1083</v>
      </c>
      <c r="I371" s="59" t="s">
        <v>593</v>
      </c>
      <c r="J371" s="61" t="str">
        <f t="shared" si="14"/>
        <v>TantalumJiangxi Tuohong New Raw Material</v>
      </c>
      <c r="K371" s="61" t="str">
        <f t="shared" si="15"/>
        <v>TantalumJiangxi Tuohong New Raw Material</v>
      </c>
    </row>
    <row r="372" spans="1:11">
      <c r="A372" s="59" t="s">
        <v>145</v>
      </c>
      <c r="B372" s="59" t="s">
        <v>1084</v>
      </c>
      <c r="C372" s="59" t="s">
        <v>1084</v>
      </c>
      <c r="D372" s="59" t="s">
        <v>257</v>
      </c>
      <c r="E372" s="59" t="s">
        <v>1085</v>
      </c>
      <c r="F372" s="59" t="s">
        <v>177</v>
      </c>
      <c r="G372" s="59"/>
      <c r="H372" s="59" t="s">
        <v>1086</v>
      </c>
      <c r="I372" s="59" t="s">
        <v>593</v>
      </c>
      <c r="J372" s="61" t="str">
        <f t="shared" si="14"/>
        <v>TantalumJiuJiang JinXin Nonferrous Metals Co., Ltd.</v>
      </c>
      <c r="K372" s="61" t="str">
        <f t="shared" si="15"/>
        <v>TantalumJiuJiang JinXin Nonferrous Metals Co., Ltd.</v>
      </c>
    </row>
    <row r="373" spans="1:11">
      <c r="A373" s="59" t="s">
        <v>145</v>
      </c>
      <c r="B373" s="59" t="s">
        <v>1087</v>
      </c>
      <c r="C373" s="59" t="s">
        <v>1088</v>
      </c>
      <c r="D373" s="59" t="s">
        <v>257</v>
      </c>
      <c r="E373" s="59" t="s">
        <v>1089</v>
      </c>
      <c r="F373" s="59" t="s">
        <v>177</v>
      </c>
      <c r="G373" s="59"/>
      <c r="H373" s="59" t="s">
        <v>1086</v>
      </c>
      <c r="I373" s="59" t="s">
        <v>593</v>
      </c>
      <c r="J373" s="61" t="str">
        <f t="shared" si="14"/>
        <v>TantalumJiujiang Nonferrous Metals Smelting Company Limited</v>
      </c>
      <c r="K373" s="61" t="str">
        <f t="shared" si="15"/>
        <v>TantalumJiujiang Nonferrous Metals Smelting Company Limited</v>
      </c>
    </row>
    <row r="374" spans="1:11">
      <c r="A374" s="59" t="s">
        <v>145</v>
      </c>
      <c r="B374" s="59" t="s">
        <v>1088</v>
      </c>
      <c r="C374" s="59" t="s">
        <v>1088</v>
      </c>
      <c r="D374" s="59" t="s">
        <v>257</v>
      </c>
      <c r="E374" s="59" t="s">
        <v>1089</v>
      </c>
      <c r="F374" s="59" t="s">
        <v>177</v>
      </c>
      <c r="G374" s="59"/>
      <c r="H374" s="59" t="s">
        <v>1086</v>
      </c>
      <c r="I374" s="59" t="s">
        <v>593</v>
      </c>
      <c r="J374" s="61" t="str">
        <f t="shared" si="14"/>
        <v>TantalumJiujiang Tanbre Co., Ltd.</v>
      </c>
      <c r="K374" s="61" t="str">
        <f t="shared" si="15"/>
        <v>TantalumJiujiang Tanbre Co., Ltd.</v>
      </c>
    </row>
    <row r="375" spans="1:11">
      <c r="A375" s="59" t="s">
        <v>145</v>
      </c>
      <c r="B375" s="59" t="s">
        <v>1090</v>
      </c>
      <c r="C375" s="59" t="s">
        <v>1090</v>
      </c>
      <c r="D375" s="59" t="s">
        <v>257</v>
      </c>
      <c r="E375" s="59" t="s">
        <v>1091</v>
      </c>
      <c r="F375" s="59" t="s">
        <v>177</v>
      </c>
      <c r="G375" s="59"/>
      <c r="H375" s="59" t="s">
        <v>1086</v>
      </c>
      <c r="I375" s="59" t="s">
        <v>593</v>
      </c>
      <c r="J375" s="61" t="str">
        <f t="shared" si="14"/>
        <v>TantalumJiujiang Zhongao Tantalum &amp; Niobium Co., Ltd.</v>
      </c>
      <c r="K375" s="61" t="str">
        <f t="shared" si="15"/>
        <v>TantalumJiujiang Zhongao Tantalum &amp; Niobium Co., Ltd.</v>
      </c>
    </row>
    <row r="376" spans="1:11">
      <c r="A376" s="59" t="s">
        <v>145</v>
      </c>
      <c r="B376" s="59" t="s">
        <v>1092</v>
      </c>
      <c r="C376" s="59" t="s">
        <v>1093</v>
      </c>
      <c r="D376" s="59" t="s">
        <v>348</v>
      </c>
      <c r="E376" s="59" t="s">
        <v>1094</v>
      </c>
      <c r="F376" s="59" t="s">
        <v>177</v>
      </c>
      <c r="G376" s="59"/>
      <c r="H376" s="59" t="s">
        <v>1095</v>
      </c>
      <c r="I376" s="59" t="s">
        <v>1096</v>
      </c>
      <c r="J376" s="61" t="str">
        <f t="shared" si="14"/>
        <v>TantalumKEMET Blue Metals</v>
      </c>
      <c r="K376" s="61" t="str">
        <f t="shared" si="15"/>
        <v>TantalumKEMET Blue Metals</v>
      </c>
    </row>
    <row r="377" spans="1:11">
      <c r="A377" s="59" t="s">
        <v>145</v>
      </c>
      <c r="B377" s="59" t="s">
        <v>1093</v>
      </c>
      <c r="C377" s="59" t="s">
        <v>1093</v>
      </c>
      <c r="D377" s="59" t="s">
        <v>348</v>
      </c>
      <c r="E377" s="59" t="s">
        <v>1094</v>
      </c>
      <c r="F377" s="59" t="s">
        <v>177</v>
      </c>
      <c r="G377" s="59"/>
      <c r="H377" s="59" t="s">
        <v>1095</v>
      </c>
      <c r="I377" s="59" t="s">
        <v>1096</v>
      </c>
      <c r="J377" s="61" t="str">
        <f t="shared" si="14"/>
        <v>TantalumKEMET de Mexico</v>
      </c>
      <c r="K377" s="61" t="str">
        <f t="shared" si="15"/>
        <v>TantalumKEMET de Mexico</v>
      </c>
    </row>
    <row r="378" spans="1:11">
      <c r="A378" s="59" t="s">
        <v>145</v>
      </c>
      <c r="B378" s="59" t="s">
        <v>1097</v>
      </c>
      <c r="C378" s="59" t="s">
        <v>1023</v>
      </c>
      <c r="D378" s="59" t="s">
        <v>250</v>
      </c>
      <c r="E378" s="59" t="s">
        <v>1024</v>
      </c>
      <c r="F378" s="59" t="s">
        <v>177</v>
      </c>
      <c r="G378" s="59"/>
      <c r="H378" s="59" t="s">
        <v>1025</v>
      </c>
      <c r="I378" s="59" t="s">
        <v>253</v>
      </c>
      <c r="J378" s="61" t="str">
        <f t="shared" si="14"/>
        <v>TantalumLSM Brasil S.A.</v>
      </c>
      <c r="K378" s="61" t="str">
        <f t="shared" si="15"/>
        <v>TantalumLSM Brasil S.A.</v>
      </c>
    </row>
    <row r="379" spans="1:11">
      <c r="A379" s="59" t="s">
        <v>145</v>
      </c>
      <c r="B379" s="59" t="s">
        <v>1055</v>
      </c>
      <c r="C379" s="59" t="s">
        <v>1055</v>
      </c>
      <c r="D379" s="59" t="s">
        <v>186</v>
      </c>
      <c r="E379" s="59" t="s">
        <v>1056</v>
      </c>
      <c r="F379" s="59" t="s">
        <v>177</v>
      </c>
      <c r="G379" s="59"/>
      <c r="H379" s="59" t="s">
        <v>1057</v>
      </c>
      <c r="I379" s="59" t="s">
        <v>728</v>
      </c>
      <c r="J379" s="61" t="str">
        <f t="shared" si="14"/>
        <v>TantalumMaterion Newton Inc.</v>
      </c>
      <c r="K379" s="61" t="str">
        <f t="shared" si="15"/>
        <v>TantalumMaterion Newton Inc.</v>
      </c>
    </row>
    <row r="380" spans="1:11">
      <c r="A380" s="59" t="s">
        <v>145</v>
      </c>
      <c r="B380" s="59" t="s">
        <v>1098</v>
      </c>
      <c r="C380" s="59" t="s">
        <v>1099</v>
      </c>
      <c r="D380" s="59" t="s">
        <v>292</v>
      </c>
      <c r="E380" s="59" t="s">
        <v>1100</v>
      </c>
      <c r="F380" s="59" t="s">
        <v>177</v>
      </c>
      <c r="G380" s="59"/>
      <c r="H380" s="59" t="s">
        <v>1101</v>
      </c>
      <c r="I380" s="59" t="s">
        <v>310</v>
      </c>
      <c r="J380" s="61" t="str">
        <f t="shared" si="14"/>
        <v>TantalumMetallurgical Products India Pvt. Ltd. (MPIL)</v>
      </c>
      <c r="K380" s="61" t="str">
        <f t="shared" si="15"/>
        <v>TantalumMetallurgical Products India Pvt. Ltd. (MPIL)</v>
      </c>
    </row>
    <row r="381" spans="1:11">
      <c r="A381" s="59" t="s">
        <v>145</v>
      </c>
      <c r="B381" s="59" t="s">
        <v>1099</v>
      </c>
      <c r="C381" s="59" t="s">
        <v>1099</v>
      </c>
      <c r="D381" s="59" t="s">
        <v>292</v>
      </c>
      <c r="E381" s="59" t="s">
        <v>1100</v>
      </c>
      <c r="F381" s="59" t="s">
        <v>177</v>
      </c>
      <c r="G381" s="59"/>
      <c r="H381" s="59" t="s">
        <v>1101</v>
      </c>
      <c r="I381" s="59" t="s">
        <v>310</v>
      </c>
      <c r="J381" s="61" t="str">
        <f t="shared" si="14"/>
        <v>TantalumMetallurgical Products India Pvt., Ltd.</v>
      </c>
      <c r="K381" s="61" t="str">
        <f t="shared" si="15"/>
        <v>TantalumMetallurgical Products India Pvt., Ltd.</v>
      </c>
    </row>
    <row r="382" spans="1:11">
      <c r="A382" s="59" t="s">
        <v>145</v>
      </c>
      <c r="B382" s="59" t="s">
        <v>1102</v>
      </c>
      <c r="C382" s="59" t="s">
        <v>1102</v>
      </c>
      <c r="D382" s="59" t="s">
        <v>250</v>
      </c>
      <c r="E382" s="59" t="s">
        <v>1103</v>
      </c>
      <c r="F382" s="59" t="s">
        <v>177</v>
      </c>
      <c r="G382" s="59"/>
      <c r="H382" s="59" t="s">
        <v>1104</v>
      </c>
      <c r="I382" s="59" t="s">
        <v>401</v>
      </c>
      <c r="J382" s="61" t="str">
        <f t="shared" si="14"/>
        <v>TantalumMineracao Taboca S.A.</v>
      </c>
      <c r="K382" s="61" t="str">
        <f t="shared" si="15"/>
        <v>TantalumMineracao Taboca S.A.</v>
      </c>
    </row>
    <row r="383" spans="1:11">
      <c r="A383" s="59" t="s">
        <v>145</v>
      </c>
      <c r="B383" s="59" t="s">
        <v>1105</v>
      </c>
      <c r="C383" s="59" t="s">
        <v>1102</v>
      </c>
      <c r="D383" s="59" t="s">
        <v>250</v>
      </c>
      <c r="E383" s="59" t="s">
        <v>1103</v>
      </c>
      <c r="F383" s="59" t="s">
        <v>177</v>
      </c>
      <c r="G383" s="59"/>
      <c r="H383" s="59" t="s">
        <v>1104</v>
      </c>
      <c r="I383" s="59" t="s">
        <v>401</v>
      </c>
      <c r="J383" s="61" t="str">
        <f t="shared" si="14"/>
        <v>TantalumMineração Taboca S.A.</v>
      </c>
      <c r="K383" s="61" t="str">
        <f t="shared" si="15"/>
        <v>TantalumMineração Taboca S.A.</v>
      </c>
    </row>
    <row r="384" spans="1:11">
      <c r="A384" s="59" t="s">
        <v>145</v>
      </c>
      <c r="B384" s="59" t="s">
        <v>1106</v>
      </c>
      <c r="C384" s="59" t="s">
        <v>1102</v>
      </c>
      <c r="D384" s="59" t="s">
        <v>250</v>
      </c>
      <c r="E384" s="59" t="s">
        <v>1103</v>
      </c>
      <c r="F384" s="59" t="s">
        <v>177</v>
      </c>
      <c r="G384" s="59"/>
      <c r="H384" s="59" t="s">
        <v>1104</v>
      </c>
      <c r="I384" s="59" t="s">
        <v>401</v>
      </c>
      <c r="J384" s="61" t="str">
        <f t="shared" si="14"/>
        <v>TantalumMineracao Taboca SA</v>
      </c>
      <c r="K384" s="61" t="str">
        <f t="shared" si="15"/>
        <v>TantalumMineracao Taboca SA</v>
      </c>
    </row>
    <row r="385" spans="1:11">
      <c r="A385" s="59" t="s">
        <v>145</v>
      </c>
      <c r="B385" s="59" t="s">
        <v>1107</v>
      </c>
      <c r="C385" s="59" t="s">
        <v>1107</v>
      </c>
      <c r="D385" s="59" t="s">
        <v>213</v>
      </c>
      <c r="E385" s="59" t="s">
        <v>1108</v>
      </c>
      <c r="F385" s="59" t="s">
        <v>177</v>
      </c>
      <c r="G385" s="59"/>
      <c r="H385" s="59" t="s">
        <v>1109</v>
      </c>
      <c r="I385" s="59" t="s">
        <v>1110</v>
      </c>
      <c r="J385" s="61" t="str">
        <f t="shared" si="14"/>
        <v>TantalumMitsui Kinzoku Company, Limited</v>
      </c>
      <c r="K385" s="61" t="str">
        <f t="shared" si="15"/>
        <v>TantalumMitsui Kinzoku Company, Limited</v>
      </c>
    </row>
    <row r="386" spans="1:11">
      <c r="A386" s="59" t="s">
        <v>145</v>
      </c>
      <c r="B386" s="59" t="s">
        <v>1111</v>
      </c>
      <c r="C386" s="59" t="s">
        <v>1107</v>
      </c>
      <c r="D386" s="59" t="s">
        <v>213</v>
      </c>
      <c r="E386" s="59" t="s">
        <v>1108</v>
      </c>
      <c r="F386" s="59" t="s">
        <v>177</v>
      </c>
      <c r="G386" s="59"/>
      <c r="H386" s="59" t="s">
        <v>1109</v>
      </c>
      <c r="I386" s="59" t="s">
        <v>1110</v>
      </c>
      <c r="J386" s="61" t="str">
        <f t="shared" si="14"/>
        <v>TantalumMitsui Mining &amp; Smelting</v>
      </c>
      <c r="K386" s="61" t="str">
        <f t="shared" si="15"/>
        <v>TantalumMitsui Mining &amp; Smelting</v>
      </c>
    </row>
    <row r="387" spans="1:11">
      <c r="A387" s="59" t="s">
        <v>145</v>
      </c>
      <c r="B387" s="59" t="s">
        <v>739</v>
      </c>
      <c r="C387" s="59" t="s">
        <v>1107</v>
      </c>
      <c r="D387" s="59" t="s">
        <v>213</v>
      </c>
      <c r="E387" s="59" t="s">
        <v>1108</v>
      </c>
      <c r="F387" s="59" t="s">
        <v>177</v>
      </c>
      <c r="G387" s="59"/>
      <c r="H387" s="59" t="s">
        <v>1109</v>
      </c>
      <c r="I387" s="59" t="s">
        <v>1110</v>
      </c>
      <c r="J387" s="61" t="str">
        <f t="shared" si="14"/>
        <v>TantalumMitsui Mining and Smelting Co., Ltd.</v>
      </c>
      <c r="K387" s="61" t="str">
        <f t="shared" si="15"/>
        <v>TantalumMitsui Mining and Smelting Co., Ltd.</v>
      </c>
    </row>
    <row r="388" spans="1:11">
      <c r="A388" s="59" t="s">
        <v>145</v>
      </c>
      <c r="B388" s="59" t="s">
        <v>1112</v>
      </c>
      <c r="C388" s="59" t="s">
        <v>1113</v>
      </c>
      <c r="D388" s="59" t="s">
        <v>1019</v>
      </c>
      <c r="E388" s="59" t="s">
        <v>1114</v>
      </c>
      <c r="F388" s="59" t="s">
        <v>177</v>
      </c>
      <c r="G388" s="59"/>
      <c r="H388" s="59" t="s">
        <v>1115</v>
      </c>
      <c r="I388" s="59" t="s">
        <v>1116</v>
      </c>
      <c r="J388" s="61" t="str">
        <f t="shared" ref="J388:J451" si="16">A388&amp;B388</f>
        <v>TantalumMolycorp Silmet A.S.</v>
      </c>
      <c r="K388" s="61" t="str">
        <f t="shared" ref="K388:K451" si="17">A388&amp;B388</f>
        <v>TantalumMolycorp Silmet A.S.</v>
      </c>
    </row>
    <row r="389" spans="1:11">
      <c r="A389" s="59" t="s">
        <v>145</v>
      </c>
      <c r="B389" s="59" t="s">
        <v>1117</v>
      </c>
      <c r="C389" s="59" t="s">
        <v>1118</v>
      </c>
      <c r="D389" s="59" t="s">
        <v>257</v>
      </c>
      <c r="E389" s="59" t="s">
        <v>1119</v>
      </c>
      <c r="F389" s="59" t="s">
        <v>177</v>
      </c>
      <c r="G389" s="59"/>
      <c r="H389" s="59" t="s">
        <v>1120</v>
      </c>
      <c r="I389" s="59" t="s">
        <v>1121</v>
      </c>
      <c r="J389" s="61" t="str">
        <f t="shared" si="16"/>
        <v>TantalumNingxia Non-Ferrous Metal Smeltery</v>
      </c>
      <c r="K389" s="61" t="str">
        <f t="shared" si="17"/>
        <v>TantalumNingxia Non-Ferrous Metal Smeltery</v>
      </c>
    </row>
    <row r="390" spans="1:11">
      <c r="A390" s="59" t="s">
        <v>145</v>
      </c>
      <c r="B390" s="59" t="s">
        <v>1118</v>
      </c>
      <c r="C390" s="59" t="s">
        <v>1118</v>
      </c>
      <c r="D390" s="59" t="s">
        <v>257</v>
      </c>
      <c r="E390" s="59" t="s">
        <v>1119</v>
      </c>
      <c r="F390" s="59" t="s">
        <v>177</v>
      </c>
      <c r="G390" s="59"/>
      <c r="H390" s="59" t="s">
        <v>1120</v>
      </c>
      <c r="I390" s="59" t="s">
        <v>1121</v>
      </c>
      <c r="J390" s="61" t="str">
        <f t="shared" si="16"/>
        <v>TantalumNingxia Orient Tantalum Industry Co., Ltd.</v>
      </c>
      <c r="K390" s="61" t="str">
        <f t="shared" si="17"/>
        <v>TantalumNingxia Orient Tantalum Industry Co., Ltd.</v>
      </c>
    </row>
    <row r="391" spans="1:11">
      <c r="A391" s="59" t="s">
        <v>145</v>
      </c>
      <c r="B391" s="59" t="s">
        <v>1113</v>
      </c>
      <c r="C391" s="59" t="s">
        <v>1113</v>
      </c>
      <c r="D391" s="59" t="s">
        <v>1019</v>
      </c>
      <c r="E391" s="59" t="s">
        <v>1114</v>
      </c>
      <c r="F391" s="59" t="s">
        <v>177</v>
      </c>
      <c r="G391" s="59"/>
      <c r="H391" s="59" t="s">
        <v>1115</v>
      </c>
      <c r="I391" s="59" t="s">
        <v>1116</v>
      </c>
      <c r="J391" s="61" t="str">
        <f t="shared" si="16"/>
        <v>TantalumNPM Silmet AS</v>
      </c>
      <c r="K391" s="61" t="str">
        <f t="shared" si="17"/>
        <v>TantalumNPM Silmet AS</v>
      </c>
    </row>
    <row r="392" spans="1:11">
      <c r="A392" s="59" t="s">
        <v>145</v>
      </c>
      <c r="B392" s="59" t="s">
        <v>1122</v>
      </c>
      <c r="C392" s="59" t="s">
        <v>1122</v>
      </c>
      <c r="D392" s="59" t="s">
        <v>491</v>
      </c>
      <c r="E392" s="59" t="s">
        <v>1123</v>
      </c>
      <c r="F392" s="59" t="s">
        <v>177</v>
      </c>
      <c r="G392" s="59"/>
      <c r="H392" s="59" t="s">
        <v>1124</v>
      </c>
      <c r="I392" s="59" t="s">
        <v>1125</v>
      </c>
      <c r="J392" s="61" t="str">
        <f t="shared" si="16"/>
        <v>TantalumPowerX Ltd.</v>
      </c>
      <c r="K392" s="61" t="str">
        <f t="shared" si="17"/>
        <v>TantalumPowerX Ltd.</v>
      </c>
    </row>
    <row r="393" spans="1:11">
      <c r="A393" s="59" t="s">
        <v>145</v>
      </c>
      <c r="B393" s="59" t="s">
        <v>1126</v>
      </c>
      <c r="C393" s="59" t="s">
        <v>1127</v>
      </c>
      <c r="D393" s="59" t="s">
        <v>250</v>
      </c>
      <c r="E393" s="59" t="s">
        <v>1128</v>
      </c>
      <c r="F393" s="59" t="s">
        <v>177</v>
      </c>
      <c r="G393" s="59"/>
      <c r="H393" s="59" t="s">
        <v>1025</v>
      </c>
      <c r="I393" s="59" t="s">
        <v>1129</v>
      </c>
      <c r="J393" s="61" t="str">
        <f t="shared" si="16"/>
        <v>TantalumResind Ind e Com Ltda.</v>
      </c>
      <c r="K393" s="61" t="str">
        <f t="shared" si="17"/>
        <v>TantalumResind Ind e Com Ltda.</v>
      </c>
    </row>
    <row r="394" spans="1:11">
      <c r="A394" s="59" t="s">
        <v>145</v>
      </c>
      <c r="B394" s="59" t="s">
        <v>1127</v>
      </c>
      <c r="C394" s="59" t="s">
        <v>1127</v>
      </c>
      <c r="D394" s="59" t="s">
        <v>250</v>
      </c>
      <c r="E394" s="59" t="s">
        <v>1128</v>
      </c>
      <c r="F394" s="59" t="s">
        <v>177</v>
      </c>
      <c r="G394" s="59"/>
      <c r="H394" s="59" t="s">
        <v>1025</v>
      </c>
      <c r="I394" s="59" t="s">
        <v>1129</v>
      </c>
      <c r="J394" s="61" t="str">
        <f t="shared" si="16"/>
        <v>TantalumResind Industria e Comercio Ltda.</v>
      </c>
      <c r="K394" s="61" t="str">
        <f t="shared" si="17"/>
        <v>TantalumResind Industria e Comercio Ltda.</v>
      </c>
    </row>
    <row r="395" spans="1:11">
      <c r="A395" s="59" t="s">
        <v>145</v>
      </c>
      <c r="B395" s="59" t="s">
        <v>1130</v>
      </c>
      <c r="C395" s="59" t="s">
        <v>1127</v>
      </c>
      <c r="D395" s="59" t="s">
        <v>250</v>
      </c>
      <c r="E395" s="59" t="s">
        <v>1128</v>
      </c>
      <c r="F395" s="59" t="s">
        <v>177</v>
      </c>
      <c r="G395" s="59"/>
      <c r="H395" s="59" t="s">
        <v>1025</v>
      </c>
      <c r="I395" s="59" t="s">
        <v>1129</v>
      </c>
      <c r="J395" s="61" t="str">
        <f t="shared" si="16"/>
        <v>TantalumResind Indústria e Comércio Ltda.</v>
      </c>
      <c r="K395" s="61" t="str">
        <f t="shared" si="17"/>
        <v>TantalumResind Indústria e Comércio Ltda.</v>
      </c>
    </row>
    <row r="396" spans="1:11">
      <c r="A396" s="59" t="s">
        <v>145</v>
      </c>
      <c r="B396" s="59" t="s">
        <v>1131</v>
      </c>
      <c r="C396" s="59" t="s">
        <v>1132</v>
      </c>
      <c r="D396" s="59" t="s">
        <v>257</v>
      </c>
      <c r="E396" s="59" t="s">
        <v>1133</v>
      </c>
      <c r="F396" s="59" t="s">
        <v>177</v>
      </c>
      <c r="G396" s="59"/>
      <c r="H396" s="59" t="s">
        <v>1039</v>
      </c>
      <c r="I396" s="59" t="s">
        <v>549</v>
      </c>
      <c r="J396" s="61" t="str">
        <f t="shared" si="16"/>
        <v>TantalumRFH</v>
      </c>
      <c r="K396" s="61" t="str">
        <f t="shared" si="17"/>
        <v>TantalumRFH</v>
      </c>
    </row>
    <row r="397" spans="1:11">
      <c r="A397" s="59" t="s">
        <v>145</v>
      </c>
      <c r="B397" s="59" t="s">
        <v>1134</v>
      </c>
      <c r="C397" s="59" t="s">
        <v>1132</v>
      </c>
      <c r="D397" s="59" t="s">
        <v>257</v>
      </c>
      <c r="E397" s="59" t="s">
        <v>1133</v>
      </c>
      <c r="F397" s="59" t="s">
        <v>177</v>
      </c>
      <c r="G397" s="59"/>
      <c r="H397" s="59" t="s">
        <v>1039</v>
      </c>
      <c r="I397" s="59" t="s">
        <v>549</v>
      </c>
      <c r="J397" s="61" t="str">
        <f t="shared" si="16"/>
        <v>TantalumRFH Tantalum Smeltry Co., Ltd.</v>
      </c>
      <c r="K397" s="61" t="str">
        <f t="shared" si="17"/>
        <v>TantalumRFH Tantalum Smeltry Co., Ltd.</v>
      </c>
    </row>
    <row r="398" spans="1:11">
      <c r="A398" s="59" t="s">
        <v>145</v>
      </c>
      <c r="B398" s="59" t="s">
        <v>1135</v>
      </c>
      <c r="C398" s="59" t="s">
        <v>1136</v>
      </c>
      <c r="D398" s="59" t="s">
        <v>439</v>
      </c>
      <c r="E398" s="59" t="s">
        <v>1137</v>
      </c>
      <c r="F398" s="59" t="s">
        <v>177</v>
      </c>
      <c r="G398" s="59"/>
      <c r="H398" s="59" t="s">
        <v>1135</v>
      </c>
      <c r="I398" s="59" t="s">
        <v>1138</v>
      </c>
      <c r="J398" s="61" t="str">
        <f t="shared" si="16"/>
        <v>TantalumSolikamsk</v>
      </c>
      <c r="K398" s="61" t="str">
        <f t="shared" si="17"/>
        <v>TantalumSolikamsk</v>
      </c>
    </row>
    <row r="399" spans="1:11">
      <c r="A399" s="59" t="s">
        <v>145</v>
      </c>
      <c r="B399" s="59" t="s">
        <v>1136</v>
      </c>
      <c r="C399" s="59" t="s">
        <v>1136</v>
      </c>
      <c r="D399" s="59" t="s">
        <v>439</v>
      </c>
      <c r="E399" s="59" t="s">
        <v>1137</v>
      </c>
      <c r="F399" s="59" t="s">
        <v>177</v>
      </c>
      <c r="G399" s="59"/>
      <c r="H399" s="59" t="s">
        <v>1135</v>
      </c>
      <c r="I399" s="59" t="s">
        <v>1138</v>
      </c>
      <c r="J399" s="61" t="str">
        <f t="shared" si="16"/>
        <v>TantalumSolikamsk Magnesium Works OAO</v>
      </c>
      <c r="K399" s="61" t="str">
        <f t="shared" si="17"/>
        <v>TantalumSolikamsk Magnesium Works OAO</v>
      </c>
    </row>
    <row r="400" spans="1:11">
      <c r="A400" s="59" t="s">
        <v>145</v>
      </c>
      <c r="B400" s="59" t="s">
        <v>1139</v>
      </c>
      <c r="C400" s="59" t="s">
        <v>1136</v>
      </c>
      <c r="D400" s="59" t="s">
        <v>439</v>
      </c>
      <c r="E400" s="59" t="s">
        <v>1137</v>
      </c>
      <c r="F400" s="59" t="s">
        <v>177</v>
      </c>
      <c r="G400" s="59"/>
      <c r="H400" s="59" t="s">
        <v>1135</v>
      </c>
      <c r="I400" s="59" t="s">
        <v>1138</v>
      </c>
      <c r="J400" s="61" t="str">
        <f t="shared" si="16"/>
        <v>TantalumSolikamsk Metal Works</v>
      </c>
      <c r="K400" s="61" t="str">
        <f t="shared" si="17"/>
        <v>TantalumSolikamsk Metal Works</v>
      </c>
    </row>
    <row r="401" spans="1:11">
      <c r="A401" s="59" t="s">
        <v>145</v>
      </c>
      <c r="B401" s="59" t="s">
        <v>1140</v>
      </c>
      <c r="C401" s="59" t="s">
        <v>1140</v>
      </c>
      <c r="D401" s="59" t="s">
        <v>213</v>
      </c>
      <c r="E401" s="59" t="s">
        <v>1141</v>
      </c>
      <c r="F401" s="59" t="s">
        <v>177</v>
      </c>
      <c r="G401" s="59"/>
      <c r="H401" s="59" t="s">
        <v>1142</v>
      </c>
      <c r="I401" s="59" t="s">
        <v>1143</v>
      </c>
      <c r="J401" s="61" t="str">
        <f t="shared" si="16"/>
        <v>TantalumTaki Chemical Co., Ltd.</v>
      </c>
      <c r="K401" s="61" t="str">
        <f t="shared" si="17"/>
        <v>TantalumTaki Chemical Co., Ltd.</v>
      </c>
    </row>
    <row r="402" spans="1:11">
      <c r="A402" s="59" t="s">
        <v>145</v>
      </c>
      <c r="B402" s="59" t="s">
        <v>1144</v>
      </c>
      <c r="C402" s="59" t="s">
        <v>1140</v>
      </c>
      <c r="D402" s="59" t="s">
        <v>213</v>
      </c>
      <c r="E402" s="59" t="s">
        <v>1141</v>
      </c>
      <c r="F402" s="59" t="s">
        <v>177</v>
      </c>
      <c r="G402" s="59"/>
      <c r="H402" s="59" t="s">
        <v>1142</v>
      </c>
      <c r="I402" s="59" t="s">
        <v>1143</v>
      </c>
      <c r="J402" s="61" t="str">
        <f t="shared" si="16"/>
        <v>TantalumTaki Chemicals</v>
      </c>
      <c r="K402" s="61" t="str">
        <f t="shared" si="17"/>
        <v>TantalumTaki Chemicals</v>
      </c>
    </row>
    <row r="403" spans="1:11">
      <c r="A403" s="59" t="s">
        <v>145</v>
      </c>
      <c r="B403" s="59" t="s">
        <v>1050</v>
      </c>
      <c r="C403" s="59" t="s">
        <v>1050</v>
      </c>
      <c r="D403" s="59" t="s">
        <v>978</v>
      </c>
      <c r="E403" s="59" t="s">
        <v>1051</v>
      </c>
      <c r="F403" s="59" t="s">
        <v>177</v>
      </c>
      <c r="G403" s="59"/>
      <c r="H403" s="59" t="s">
        <v>1052</v>
      </c>
      <c r="I403" s="59" t="s">
        <v>1053</v>
      </c>
      <c r="J403" s="61" t="str">
        <f t="shared" si="16"/>
        <v>TantalumTANIOBIS Co., Ltd.</v>
      </c>
      <c r="K403" s="61" t="str">
        <f t="shared" si="17"/>
        <v>TantalumTANIOBIS Co., Ltd.</v>
      </c>
    </row>
    <row r="404" spans="1:11">
      <c r="A404" s="59" t="s">
        <v>145</v>
      </c>
      <c r="B404" s="59" t="s">
        <v>1067</v>
      </c>
      <c r="C404" s="59" t="s">
        <v>1067</v>
      </c>
      <c r="D404" s="59" t="s">
        <v>200</v>
      </c>
      <c r="E404" s="59" t="s">
        <v>1068</v>
      </c>
      <c r="F404" s="59" t="s">
        <v>177</v>
      </c>
      <c r="G404" s="59"/>
      <c r="H404" s="59" t="s">
        <v>1069</v>
      </c>
      <c r="I404" s="59" t="s">
        <v>1070</v>
      </c>
      <c r="J404" s="61" t="str">
        <f t="shared" si="16"/>
        <v>TantalumTANIOBIS GmbH</v>
      </c>
      <c r="K404" s="61" t="str">
        <f t="shared" si="17"/>
        <v>TantalumTANIOBIS GmbH</v>
      </c>
    </row>
    <row r="405" spans="1:11">
      <c r="A405" s="59" t="s">
        <v>145</v>
      </c>
      <c r="B405" s="59" t="s">
        <v>1059</v>
      </c>
      <c r="C405" s="59" t="s">
        <v>1059</v>
      </c>
      <c r="D405" s="59" t="s">
        <v>213</v>
      </c>
      <c r="E405" s="59" t="s">
        <v>1060</v>
      </c>
      <c r="F405" s="59" t="s">
        <v>177</v>
      </c>
      <c r="G405" s="59"/>
      <c r="H405" s="59" t="s">
        <v>1061</v>
      </c>
      <c r="I405" s="59" t="s">
        <v>247</v>
      </c>
      <c r="J405" s="61" t="str">
        <f t="shared" si="16"/>
        <v>TantalumTANIOBIS Japan Co., Ltd.</v>
      </c>
      <c r="K405" s="61" t="str">
        <f t="shared" si="17"/>
        <v>TantalumTANIOBIS Japan Co., Ltd.</v>
      </c>
    </row>
    <row r="406" spans="1:11">
      <c r="A406" s="59" t="s">
        <v>145</v>
      </c>
      <c r="B406" s="59" t="s">
        <v>1063</v>
      </c>
      <c r="C406" s="59" t="s">
        <v>1063</v>
      </c>
      <c r="D406" s="59" t="s">
        <v>200</v>
      </c>
      <c r="E406" s="59" t="s">
        <v>1064</v>
      </c>
      <c r="F406" s="59" t="s">
        <v>177</v>
      </c>
      <c r="G406" s="59"/>
      <c r="H406" s="59" t="s">
        <v>1065</v>
      </c>
      <c r="I406" s="59" t="s">
        <v>203</v>
      </c>
      <c r="J406" s="61" t="str">
        <f t="shared" si="16"/>
        <v>TantalumTANIOBIS Smelting GmbH &amp; Co. KG</v>
      </c>
      <c r="K406" s="61" t="str">
        <f t="shared" si="17"/>
        <v>TantalumTANIOBIS Smelting GmbH &amp; Co. KG</v>
      </c>
    </row>
    <row r="407" spans="1:11">
      <c r="A407" s="59" t="s">
        <v>145</v>
      </c>
      <c r="B407" s="59" t="s">
        <v>1145</v>
      </c>
      <c r="C407" s="59" t="s">
        <v>1145</v>
      </c>
      <c r="D407" s="59" t="s">
        <v>186</v>
      </c>
      <c r="E407" s="59" t="s">
        <v>1146</v>
      </c>
      <c r="F407" s="59" t="s">
        <v>177</v>
      </c>
      <c r="G407" s="59"/>
      <c r="H407" s="59" t="s">
        <v>1147</v>
      </c>
      <c r="I407" s="59" t="s">
        <v>189</v>
      </c>
      <c r="J407" s="61" t="str">
        <f t="shared" si="16"/>
        <v>TantalumTelex Metals</v>
      </c>
      <c r="K407" s="61" t="str">
        <f t="shared" si="17"/>
        <v>TantalumTelex Metals</v>
      </c>
    </row>
    <row r="408" spans="1:11">
      <c r="A408" s="59" t="s">
        <v>145</v>
      </c>
      <c r="B408" s="59" t="s">
        <v>1148</v>
      </c>
      <c r="C408" s="59" t="s">
        <v>1149</v>
      </c>
      <c r="D408" s="59" t="s">
        <v>609</v>
      </c>
      <c r="E408" s="59" t="s">
        <v>1150</v>
      </c>
      <c r="F408" s="59" t="s">
        <v>177</v>
      </c>
      <c r="G408" s="59"/>
      <c r="H408" s="59" t="s">
        <v>616</v>
      </c>
      <c r="I408" s="59" t="s">
        <v>612</v>
      </c>
      <c r="J408" s="61" t="str">
        <f t="shared" si="16"/>
        <v>TantalumULBA</v>
      </c>
      <c r="K408" s="61" t="str">
        <f t="shared" si="17"/>
        <v>TantalumULBA</v>
      </c>
    </row>
    <row r="409" spans="1:11">
      <c r="A409" s="59" t="s">
        <v>145</v>
      </c>
      <c r="B409" s="59" t="s">
        <v>1149</v>
      </c>
      <c r="C409" s="59" t="s">
        <v>1149</v>
      </c>
      <c r="D409" s="59" t="s">
        <v>609</v>
      </c>
      <c r="E409" s="59" t="s">
        <v>1150</v>
      </c>
      <c r="F409" s="59" t="s">
        <v>177</v>
      </c>
      <c r="G409" s="59"/>
      <c r="H409" s="59" t="s">
        <v>616</v>
      </c>
      <c r="I409" s="59" t="s">
        <v>612</v>
      </c>
      <c r="J409" s="61" t="str">
        <f t="shared" si="16"/>
        <v>TantalumUlba Metallurgical Plant JSC</v>
      </c>
      <c r="K409" s="61" t="str">
        <f t="shared" si="17"/>
        <v>TantalumUlba Metallurgical Plant JSC</v>
      </c>
    </row>
    <row r="410" spans="1:11">
      <c r="A410" s="59" t="s">
        <v>145</v>
      </c>
      <c r="B410" s="59" t="s">
        <v>1047</v>
      </c>
      <c r="C410" s="59" t="s">
        <v>1047</v>
      </c>
      <c r="D410" s="59" t="s">
        <v>257</v>
      </c>
      <c r="E410" s="59" t="s">
        <v>1048</v>
      </c>
      <c r="F410" s="59" t="s">
        <v>177</v>
      </c>
      <c r="G410" s="59"/>
      <c r="H410" s="59" t="s">
        <v>1029</v>
      </c>
      <c r="I410" s="59" t="s">
        <v>897</v>
      </c>
      <c r="J410" s="61" t="str">
        <f t="shared" si="16"/>
        <v>TantalumXIMEI RESOURCES (GUANGDONG) LIMITED</v>
      </c>
      <c r="K410" s="61" t="str">
        <f t="shared" si="17"/>
        <v>TantalumXIMEI RESOURCES (GUANGDONG) LIMITED</v>
      </c>
    </row>
    <row r="411" spans="1:11">
      <c r="A411" s="59" t="s">
        <v>145</v>
      </c>
      <c r="B411" s="59" t="s">
        <v>1151</v>
      </c>
      <c r="C411" s="59" t="s">
        <v>1151</v>
      </c>
      <c r="D411" s="59" t="s">
        <v>257</v>
      </c>
      <c r="E411" s="59" t="s">
        <v>1152</v>
      </c>
      <c r="F411" s="59" t="s">
        <v>177</v>
      </c>
      <c r="G411" s="59"/>
      <c r="H411" s="59" t="s">
        <v>1153</v>
      </c>
      <c r="I411" s="59" t="s">
        <v>897</v>
      </c>
      <c r="J411" s="61" t="str">
        <f t="shared" si="16"/>
        <v>TantalumXinXing HaoRong Electronic Material Co., Ltd.</v>
      </c>
      <c r="K411" s="61" t="str">
        <f t="shared" si="17"/>
        <v>TantalumXinXing HaoRong Electronic Material Co., Ltd.</v>
      </c>
    </row>
    <row r="412" spans="1:11">
      <c r="A412" s="59" t="s">
        <v>145</v>
      </c>
      <c r="B412" s="59" t="s">
        <v>1132</v>
      </c>
      <c r="C412" s="59" t="s">
        <v>1132</v>
      </c>
      <c r="D412" s="59" t="s">
        <v>257</v>
      </c>
      <c r="E412" s="59" t="s">
        <v>1133</v>
      </c>
      <c r="F412" s="59" t="s">
        <v>177</v>
      </c>
      <c r="G412" s="59"/>
      <c r="H412" s="59" t="s">
        <v>1039</v>
      </c>
      <c r="I412" s="59" t="s">
        <v>549</v>
      </c>
      <c r="J412" s="61" t="str">
        <f t="shared" si="16"/>
        <v>TantalumYanling Jincheng Tantalum &amp; Niobium Co., Ltd.</v>
      </c>
      <c r="K412" s="61" t="str">
        <f t="shared" si="17"/>
        <v>TantalumYanling Jincheng Tantalum &amp; Niobium Co., Ltd.</v>
      </c>
    </row>
    <row r="413" spans="1:11">
      <c r="A413" s="59" t="s">
        <v>145</v>
      </c>
      <c r="B413" s="59" t="s">
        <v>1154</v>
      </c>
      <c r="C413" s="59" t="s">
        <v>1132</v>
      </c>
      <c r="D413" s="59" t="s">
        <v>257</v>
      </c>
      <c r="E413" s="59" t="s">
        <v>1133</v>
      </c>
      <c r="F413" s="59" t="s">
        <v>177</v>
      </c>
      <c r="G413" s="59"/>
      <c r="H413" s="59" t="s">
        <v>1039</v>
      </c>
      <c r="I413" s="59" t="s">
        <v>549</v>
      </c>
      <c r="J413" s="61" t="str">
        <f t="shared" si="16"/>
        <v>TantalumYanling Jincheng Tantalum Co., Ltd.</v>
      </c>
      <c r="K413" s="61" t="str">
        <f t="shared" si="17"/>
        <v>TantalumYanling Jincheng Tantalum Co., Ltd.</v>
      </c>
    </row>
    <row r="414" spans="1:11">
      <c r="A414" s="59" t="s">
        <v>145</v>
      </c>
      <c r="B414" s="59" t="s">
        <v>1155</v>
      </c>
      <c r="C414" s="59" t="s">
        <v>1059</v>
      </c>
      <c r="D414" s="59" t="s">
        <v>213</v>
      </c>
      <c r="E414" s="59" t="s">
        <v>1060</v>
      </c>
      <c r="F414" s="59" t="s">
        <v>177</v>
      </c>
      <c r="G414" s="59"/>
      <c r="H414" s="59" t="s">
        <v>1061</v>
      </c>
      <c r="I414" s="59" t="s">
        <v>247</v>
      </c>
      <c r="J414" s="61" t="str">
        <f t="shared" si="16"/>
        <v>Tantalumタニオビス・ジャパン株式会社</v>
      </c>
      <c r="K414" s="61" t="str">
        <f t="shared" si="17"/>
        <v>Tantalumタニオビス・ジャパン株式会社</v>
      </c>
    </row>
    <row r="415" spans="1:11">
      <c r="A415" s="59" t="s">
        <v>145</v>
      </c>
      <c r="B415" s="59" t="s">
        <v>1017</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1156</v>
      </c>
      <c r="C417" s="59" t="s">
        <v>1157</v>
      </c>
      <c r="D417" s="59" t="s">
        <v>186</v>
      </c>
      <c r="E417" s="59" t="s">
        <v>1158</v>
      </c>
      <c r="F417" s="59" t="s">
        <v>177</v>
      </c>
      <c r="G417" s="59"/>
      <c r="H417" s="59" t="s">
        <v>1159</v>
      </c>
      <c r="I417" s="59" t="s">
        <v>189</v>
      </c>
      <c r="J417" s="61" t="str">
        <f t="shared" si="16"/>
        <v>TinAlent plc</v>
      </c>
      <c r="K417" s="61" t="str">
        <f t="shared" si="17"/>
        <v>TinAlent plc</v>
      </c>
    </row>
    <row r="418" spans="1:11">
      <c r="A418" s="59" t="s">
        <v>146</v>
      </c>
      <c r="B418" s="59" t="s">
        <v>1157</v>
      </c>
      <c r="C418" s="59" t="s">
        <v>1157</v>
      </c>
      <c r="D418" s="59" t="s">
        <v>186</v>
      </c>
      <c r="E418" s="59" t="s">
        <v>1158</v>
      </c>
      <c r="F418" s="59" t="s">
        <v>177</v>
      </c>
      <c r="G418" s="59"/>
      <c r="H418" s="59" t="s">
        <v>1159</v>
      </c>
      <c r="I418" s="59" t="s">
        <v>189</v>
      </c>
      <c r="J418" s="61" t="str">
        <f t="shared" si="16"/>
        <v>TinAlpha Assembly Solutions Inc</v>
      </c>
      <c r="K418" s="61" t="str">
        <f t="shared" si="17"/>
        <v>TinAlpha Assembly Solutions Inc</v>
      </c>
    </row>
    <row r="419" spans="1:11">
      <c r="A419" s="59" t="s">
        <v>146</v>
      </c>
      <c r="B419" s="59" t="s">
        <v>1160</v>
      </c>
      <c r="C419" s="59" t="s">
        <v>1157</v>
      </c>
      <c r="D419" s="59" t="s">
        <v>186</v>
      </c>
      <c r="E419" s="59" t="s">
        <v>1158</v>
      </c>
      <c r="F419" s="59" t="s">
        <v>177</v>
      </c>
      <c r="G419" s="59"/>
      <c r="H419" s="59" t="s">
        <v>1159</v>
      </c>
      <c r="I419" s="59" t="s">
        <v>189</v>
      </c>
      <c r="J419" s="61" t="str">
        <f t="shared" si="16"/>
        <v>TinAlpha Metals</v>
      </c>
      <c r="K419" s="61" t="str">
        <f t="shared" si="17"/>
        <v>TinAlpha Metals</v>
      </c>
    </row>
    <row r="420" spans="1:11">
      <c r="A420" s="59" t="s">
        <v>146</v>
      </c>
      <c r="B420" s="59" t="s">
        <v>1161</v>
      </c>
      <c r="C420" s="59" t="s">
        <v>1157</v>
      </c>
      <c r="D420" s="59" t="s">
        <v>186</v>
      </c>
      <c r="E420" s="59" t="s">
        <v>1158</v>
      </c>
      <c r="F420" s="59" t="s">
        <v>177</v>
      </c>
      <c r="G420" s="59"/>
      <c r="H420" s="59" t="s">
        <v>1159</v>
      </c>
      <c r="I420" s="59" t="s">
        <v>189</v>
      </c>
      <c r="J420" s="61" t="str">
        <f t="shared" si="16"/>
        <v>TinAlpha Metals Korea Ltd.</v>
      </c>
      <c r="K420" s="61" t="str">
        <f t="shared" si="17"/>
        <v>TinAlpha Metals Korea Ltd.</v>
      </c>
    </row>
    <row r="421" spans="1:11">
      <c r="A421" s="59" t="s">
        <v>146</v>
      </c>
      <c r="B421" s="59" t="s">
        <v>1162</v>
      </c>
      <c r="C421" s="59" t="s">
        <v>1157</v>
      </c>
      <c r="D421" s="59" t="s">
        <v>186</v>
      </c>
      <c r="E421" s="59" t="s">
        <v>1158</v>
      </c>
      <c r="F421" s="59" t="s">
        <v>177</v>
      </c>
      <c r="G421" s="59"/>
      <c r="H421" s="59" t="s">
        <v>1159</v>
      </c>
      <c r="I421" s="59" t="s">
        <v>189</v>
      </c>
      <c r="J421" s="61" t="str">
        <f t="shared" si="16"/>
        <v>TinAlpha Metals Taiwan</v>
      </c>
      <c r="K421" s="61" t="str">
        <f t="shared" si="17"/>
        <v>TinAlpha Metals Taiwan</v>
      </c>
    </row>
    <row r="422" spans="1:11">
      <c r="A422" s="59" t="s">
        <v>146</v>
      </c>
      <c r="B422" s="59" t="s">
        <v>1163</v>
      </c>
      <c r="C422" s="59" t="s">
        <v>1163</v>
      </c>
      <c r="D422" s="59" t="s">
        <v>1164</v>
      </c>
      <c r="E422" s="59" t="s">
        <v>1165</v>
      </c>
      <c r="F422" s="59" t="s">
        <v>177</v>
      </c>
      <c r="G422" s="59"/>
      <c r="H422" s="59" t="s">
        <v>1166</v>
      </c>
      <c r="I422" s="59" t="s">
        <v>1167</v>
      </c>
      <c r="J422" s="61" t="str">
        <f t="shared" si="16"/>
        <v>TinAn Vinh Joint Stock Mineral Processing Company</v>
      </c>
      <c r="K422" s="61" t="str">
        <f t="shared" si="17"/>
        <v>TinAn Vinh Joint Stock Mineral Processing Company</v>
      </c>
    </row>
    <row r="423" spans="1:11">
      <c r="A423" s="59" t="s">
        <v>146</v>
      </c>
      <c r="B423" s="59" t="s">
        <v>1168</v>
      </c>
      <c r="C423" s="59" t="s">
        <v>1168</v>
      </c>
      <c r="D423" s="59" t="s">
        <v>705</v>
      </c>
      <c r="E423" s="59" t="s">
        <v>1169</v>
      </c>
      <c r="F423" s="59" t="s">
        <v>177</v>
      </c>
      <c r="G423" s="59"/>
      <c r="H423" s="59" t="s">
        <v>1170</v>
      </c>
      <c r="I423" s="59" t="s">
        <v>708</v>
      </c>
      <c r="J423" s="61" t="str">
        <f t="shared" si="16"/>
        <v>TinAurubis Beerse</v>
      </c>
      <c r="K423" s="61" t="str">
        <f t="shared" si="17"/>
        <v>TinAurubis Beerse</v>
      </c>
    </row>
    <row r="424" spans="1:11">
      <c r="A424" s="59" t="s">
        <v>146</v>
      </c>
      <c r="B424" s="59" t="s">
        <v>1171</v>
      </c>
      <c r="C424" s="59" t="s">
        <v>1168</v>
      </c>
      <c r="D424" s="59" t="s">
        <v>705</v>
      </c>
      <c r="E424" s="59" t="s">
        <v>1169</v>
      </c>
      <c r="F424" s="59" t="s">
        <v>177</v>
      </c>
      <c r="G424" s="59"/>
      <c r="H424" s="59" t="s">
        <v>1170</v>
      </c>
      <c r="I424" s="59" t="s">
        <v>708</v>
      </c>
      <c r="J424" s="61" t="str">
        <f t="shared" si="16"/>
        <v>TinAurubis Beerse N.V.</v>
      </c>
      <c r="K424" s="61" t="str">
        <f t="shared" si="17"/>
        <v>TinAurubis Beerse N.V.</v>
      </c>
    </row>
    <row r="425" spans="1:11">
      <c r="A425" s="59" t="s">
        <v>146</v>
      </c>
      <c r="B425" s="59" t="s">
        <v>1172</v>
      </c>
      <c r="C425" s="59" t="s">
        <v>1172</v>
      </c>
      <c r="D425" s="59" t="s">
        <v>288</v>
      </c>
      <c r="E425" s="59" t="s">
        <v>1173</v>
      </c>
      <c r="F425" s="59" t="s">
        <v>177</v>
      </c>
      <c r="G425" s="59"/>
      <c r="H425" s="59" t="s">
        <v>1174</v>
      </c>
      <c r="I425" s="59" t="s">
        <v>1175</v>
      </c>
      <c r="J425" s="61" t="str">
        <f t="shared" si="16"/>
        <v>TinAurubis Berango</v>
      </c>
      <c r="K425" s="61" t="str">
        <f t="shared" si="17"/>
        <v>TinAurubis Berango</v>
      </c>
    </row>
    <row r="426" spans="1:11">
      <c r="A426" s="59" t="s">
        <v>146</v>
      </c>
      <c r="B426" s="59" t="s">
        <v>1176</v>
      </c>
      <c r="C426" s="59" t="s">
        <v>1177</v>
      </c>
      <c r="D426" s="59" t="s">
        <v>257</v>
      </c>
      <c r="E426" s="59" t="s">
        <v>1178</v>
      </c>
      <c r="F426" s="59" t="s">
        <v>177</v>
      </c>
      <c r="G426" s="59"/>
      <c r="H426" s="59" t="s">
        <v>1179</v>
      </c>
      <c r="I426" s="59" t="s">
        <v>379</v>
      </c>
      <c r="J426" s="61" t="str">
        <f t="shared" si="16"/>
        <v>TinChengfeng Metals Co Pte Ltd</v>
      </c>
      <c r="K426" s="61" t="str">
        <f t="shared" si="17"/>
        <v>TinChengfeng Metals Co Pte Ltd</v>
      </c>
    </row>
    <row r="427" spans="1:11">
      <c r="A427" s="59" t="s">
        <v>146</v>
      </c>
      <c r="B427" s="59" t="s">
        <v>1180</v>
      </c>
      <c r="C427" s="59" t="s">
        <v>1181</v>
      </c>
      <c r="D427" s="59" t="s">
        <v>257</v>
      </c>
      <c r="E427" s="59" t="s">
        <v>1182</v>
      </c>
      <c r="F427" s="59" t="s">
        <v>177</v>
      </c>
      <c r="G427" s="59"/>
      <c r="H427" s="59" t="s">
        <v>554</v>
      </c>
      <c r="I427" s="59" t="s">
        <v>549</v>
      </c>
      <c r="J427" s="61" t="str">
        <f t="shared" si="16"/>
        <v>TinChenzhou Yun Xiang mining limited liability company</v>
      </c>
      <c r="K427" s="61" t="str">
        <f t="shared" si="17"/>
        <v>TinChenzhou Yun Xiang mining limited liability company</v>
      </c>
    </row>
    <row r="428" spans="1:11">
      <c r="A428" s="59" t="s">
        <v>146</v>
      </c>
      <c r="B428" s="59" t="s">
        <v>1181</v>
      </c>
      <c r="C428" s="59" t="s">
        <v>1181</v>
      </c>
      <c r="D428" s="59" t="s">
        <v>257</v>
      </c>
      <c r="E428" s="59" t="s">
        <v>1182</v>
      </c>
      <c r="F428" s="59" t="s">
        <v>177</v>
      </c>
      <c r="G428" s="59"/>
      <c r="H428" s="59" t="s">
        <v>554</v>
      </c>
      <c r="I428" s="59" t="s">
        <v>549</v>
      </c>
      <c r="J428" s="61" t="str">
        <f t="shared" si="16"/>
        <v>TinChenzhou Yunxiang Mining and Metallurgy Co., Ltd.</v>
      </c>
      <c r="K428" s="61" t="str">
        <f t="shared" si="17"/>
        <v>TinChenzhou Yunxiang Mining and Metallurgy Co., Ltd.</v>
      </c>
    </row>
    <row r="429" spans="1:11">
      <c r="A429" s="59" t="s">
        <v>146</v>
      </c>
      <c r="B429" s="59" t="s">
        <v>1183</v>
      </c>
      <c r="C429" s="59" t="s">
        <v>1183</v>
      </c>
      <c r="D429" s="59" t="s">
        <v>257</v>
      </c>
      <c r="E429" s="59" t="s">
        <v>1184</v>
      </c>
      <c r="F429" s="59" t="s">
        <v>177</v>
      </c>
      <c r="G429" s="59"/>
      <c r="H429" s="59" t="s">
        <v>1185</v>
      </c>
      <c r="I429" s="59" t="s">
        <v>568</v>
      </c>
      <c r="J429" s="61" t="str">
        <f t="shared" si="16"/>
        <v>TinChifeng Dajingzi Tin Industry Co., Ltd.</v>
      </c>
      <c r="K429" s="61" t="str">
        <f t="shared" si="17"/>
        <v>TinChifeng Dajingzi Tin Industry Co., Ltd.</v>
      </c>
    </row>
    <row r="430" spans="1:11">
      <c r="A430" s="59" t="s">
        <v>146</v>
      </c>
      <c r="B430" s="59" t="s">
        <v>1186</v>
      </c>
      <c r="C430" s="59" t="s">
        <v>1187</v>
      </c>
      <c r="D430" s="59" t="s">
        <v>257</v>
      </c>
      <c r="E430" s="59" t="s">
        <v>154</v>
      </c>
      <c r="F430" s="59" t="s">
        <v>177</v>
      </c>
      <c r="G430" s="59"/>
      <c r="H430" s="59" t="s">
        <v>1188</v>
      </c>
      <c r="I430" s="59" t="s">
        <v>1189</v>
      </c>
      <c r="J430" s="61" t="str">
        <f t="shared" si="16"/>
        <v>TinChina Tin (Hechi)</v>
      </c>
      <c r="K430" s="61" t="str">
        <f t="shared" si="17"/>
        <v>TinChina Tin (Hechi)</v>
      </c>
    </row>
    <row r="431" spans="1:11">
      <c r="A431" s="59" t="s">
        <v>146</v>
      </c>
      <c r="B431" s="59" t="s">
        <v>1187</v>
      </c>
      <c r="C431" s="59" t="s">
        <v>1187</v>
      </c>
      <c r="D431" s="59" t="s">
        <v>257</v>
      </c>
      <c r="E431" s="59" t="s">
        <v>154</v>
      </c>
      <c r="F431" s="59" t="s">
        <v>177</v>
      </c>
      <c r="G431" s="59"/>
      <c r="H431" s="59" t="s">
        <v>1188</v>
      </c>
      <c r="I431" s="59" t="s">
        <v>1189</v>
      </c>
      <c r="J431" s="61" t="str">
        <f t="shared" si="16"/>
        <v>TinChina Tin Group Co., Ltd.</v>
      </c>
      <c r="K431" s="61" t="str">
        <f t="shared" si="17"/>
        <v>TinChina Tin Group Co., Ltd.</v>
      </c>
    </row>
    <row r="432" spans="1:11">
      <c r="A432" s="59" t="s">
        <v>146</v>
      </c>
      <c r="B432" s="59" t="s">
        <v>1190</v>
      </c>
      <c r="C432" s="59" t="s">
        <v>1187</v>
      </c>
      <c r="D432" s="59" t="s">
        <v>257</v>
      </c>
      <c r="E432" s="59" t="s">
        <v>154</v>
      </c>
      <c r="F432" s="59" t="s">
        <v>177</v>
      </c>
      <c r="G432" s="59"/>
      <c r="H432" s="59" t="s">
        <v>1188</v>
      </c>
      <c r="I432" s="59" t="s">
        <v>1189</v>
      </c>
      <c r="J432" s="61" t="str">
        <f t="shared" si="16"/>
        <v>TinChina Tin Lai Ben Smelter Co., Ltd.</v>
      </c>
      <c r="K432" s="61" t="str">
        <f t="shared" si="17"/>
        <v>TinChina Tin Lai Ben Smelter Co., Ltd.</v>
      </c>
    </row>
    <row r="433" spans="1:11">
      <c r="A433" s="59" t="s">
        <v>146</v>
      </c>
      <c r="B433" s="59" t="s">
        <v>1191</v>
      </c>
      <c r="C433" s="59" t="s">
        <v>1192</v>
      </c>
      <c r="D433" s="59" t="s">
        <v>257</v>
      </c>
      <c r="E433" s="59" t="s">
        <v>155</v>
      </c>
      <c r="F433" s="59" t="s">
        <v>177</v>
      </c>
      <c r="G433" s="59"/>
      <c r="H433" s="59" t="s">
        <v>1179</v>
      </c>
      <c r="I433" s="59" t="s">
        <v>379</v>
      </c>
      <c r="J433" s="61" t="str">
        <f t="shared" si="16"/>
        <v>TinChina Yunnan Tin Co Ltd.</v>
      </c>
      <c r="K433" s="61" t="str">
        <f t="shared" si="17"/>
        <v>TinChina Yunnan Tin Co Ltd.</v>
      </c>
    </row>
    <row r="434" spans="1:11">
      <c r="A434" s="59" t="s">
        <v>146</v>
      </c>
      <c r="B434" s="59" t="s">
        <v>1193</v>
      </c>
      <c r="C434" s="59" t="s">
        <v>1194</v>
      </c>
      <c r="D434" s="59" t="s">
        <v>186</v>
      </c>
      <c r="E434" s="59" t="s">
        <v>1195</v>
      </c>
      <c r="F434" s="59" t="s">
        <v>177</v>
      </c>
      <c r="G434" s="59"/>
      <c r="H434" s="59" t="s">
        <v>1196</v>
      </c>
      <c r="I434" s="59" t="s">
        <v>1197</v>
      </c>
      <c r="J434" s="61" t="str">
        <f t="shared" si="16"/>
        <v>TinConecsus</v>
      </c>
      <c r="K434" s="61" t="str">
        <f t="shared" si="17"/>
        <v>TinConecsus</v>
      </c>
    </row>
    <row r="435" spans="1:11">
      <c r="A435" s="59" t="s">
        <v>146</v>
      </c>
      <c r="B435" s="59" t="s">
        <v>1194</v>
      </c>
      <c r="C435" s="59" t="s">
        <v>1194</v>
      </c>
      <c r="D435" s="59" t="s">
        <v>186</v>
      </c>
      <c r="E435" s="59" t="s">
        <v>1195</v>
      </c>
      <c r="F435" s="59" t="s">
        <v>177</v>
      </c>
      <c r="G435" s="59"/>
      <c r="H435" s="59" t="s">
        <v>1196</v>
      </c>
      <c r="I435" s="59" t="s">
        <v>1197</v>
      </c>
      <c r="J435" s="61" t="str">
        <f t="shared" si="16"/>
        <v>TinConecsus LLC</v>
      </c>
      <c r="K435" s="61" t="str">
        <f t="shared" si="17"/>
        <v>TinConecsus LLC</v>
      </c>
    </row>
    <row r="436" spans="1:11">
      <c r="A436" s="59" t="s">
        <v>146</v>
      </c>
      <c r="B436" s="59" t="s">
        <v>1198</v>
      </c>
      <c r="C436" s="59" t="s">
        <v>1157</v>
      </c>
      <c r="D436" s="59" t="s">
        <v>186</v>
      </c>
      <c r="E436" s="59" t="s">
        <v>1158</v>
      </c>
      <c r="F436" s="59" t="s">
        <v>177</v>
      </c>
      <c r="G436" s="59"/>
      <c r="H436" s="59" t="s">
        <v>1159</v>
      </c>
      <c r="I436" s="59" t="s">
        <v>189</v>
      </c>
      <c r="J436" s="61" t="str">
        <f t="shared" si="16"/>
        <v>TinCookson</v>
      </c>
      <c r="K436" s="61" t="str">
        <f t="shared" si="17"/>
        <v>TinCookson</v>
      </c>
    </row>
    <row r="437" spans="1:11">
      <c r="A437" s="59" t="s">
        <v>146</v>
      </c>
      <c r="B437" s="59" t="s">
        <v>1199</v>
      </c>
      <c r="C437" s="59" t="s">
        <v>1157</v>
      </c>
      <c r="D437" s="59" t="s">
        <v>186</v>
      </c>
      <c r="E437" s="59" t="s">
        <v>1158</v>
      </c>
      <c r="F437" s="59" t="s">
        <v>177</v>
      </c>
      <c r="G437" s="59"/>
      <c r="H437" s="59" t="s">
        <v>1159</v>
      </c>
      <c r="I437" s="59" t="s">
        <v>189</v>
      </c>
      <c r="J437" s="61" t="str">
        <f t="shared" si="16"/>
        <v>TinCookson (Alpha Metals Taiwan)</v>
      </c>
      <c r="K437" s="61" t="str">
        <f t="shared" si="17"/>
        <v>TinCookson (Alpha Metals Taiwan)</v>
      </c>
    </row>
    <row r="438" spans="1:11">
      <c r="A438" s="59" t="s">
        <v>146</v>
      </c>
      <c r="B438" s="59" t="s">
        <v>1200</v>
      </c>
      <c r="C438" s="59" t="s">
        <v>1157</v>
      </c>
      <c r="D438" s="59" t="s">
        <v>186</v>
      </c>
      <c r="E438" s="59" t="s">
        <v>1158</v>
      </c>
      <c r="F438" s="59" t="s">
        <v>177</v>
      </c>
      <c r="G438" s="59"/>
      <c r="H438" s="59" t="s">
        <v>1159</v>
      </c>
      <c r="I438" s="59" t="s">
        <v>189</v>
      </c>
      <c r="J438" s="61" t="str">
        <f t="shared" si="16"/>
        <v>TinCookson Alpha Metals (Shenzhen) Co., Ltd.</v>
      </c>
      <c r="K438" s="61" t="str">
        <f t="shared" si="17"/>
        <v>TinCookson Alpha Metals (Shenzhen) Co., Ltd.</v>
      </c>
    </row>
    <row r="439" spans="1:11">
      <c r="A439" s="59" t="s">
        <v>146</v>
      </c>
      <c r="B439" s="59" t="s">
        <v>1201</v>
      </c>
      <c r="C439" s="59" t="s">
        <v>1201</v>
      </c>
      <c r="D439" s="59" t="s">
        <v>250</v>
      </c>
      <c r="E439" s="59" t="s">
        <v>1202</v>
      </c>
      <c r="F439" s="59" t="s">
        <v>177</v>
      </c>
      <c r="G439" s="59"/>
      <c r="H439" s="59" t="s">
        <v>1203</v>
      </c>
      <c r="I439" s="59" t="s">
        <v>1204</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1205</v>
      </c>
      <c r="C440" s="59" t="s">
        <v>1201</v>
      </c>
      <c r="D440" s="59" t="s">
        <v>250</v>
      </c>
      <c r="E440" s="59" t="s">
        <v>1202</v>
      </c>
      <c r="F440" s="59" t="s">
        <v>177</v>
      </c>
      <c r="G440" s="59"/>
      <c r="H440" s="59" t="s">
        <v>1203</v>
      </c>
      <c r="I440" s="59" t="s">
        <v>1204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1206</v>
      </c>
      <c r="C441" s="59" t="s">
        <v>1207</v>
      </c>
      <c r="D441" s="59" t="s">
        <v>288</v>
      </c>
      <c r="E441" s="59" t="s">
        <v>1208</v>
      </c>
      <c r="F441" s="59" t="s">
        <v>177</v>
      </c>
      <c r="G441" s="59"/>
      <c r="H441" s="59" t="s">
        <v>1209</v>
      </c>
      <c r="I441" s="59" t="s">
        <v>1210</v>
      </c>
      <c r="J441" s="61" t="str">
        <f t="shared" si="16"/>
        <v>TinCRM Synergies</v>
      </c>
      <c r="K441" s="61" t="str">
        <f t="shared" si="17"/>
        <v>TinCRM Synergies</v>
      </c>
    </row>
    <row r="442" spans="1:11">
      <c r="A442" s="59" t="s">
        <v>146</v>
      </c>
      <c r="B442" s="59" t="s">
        <v>1207</v>
      </c>
      <c r="C442" s="59" t="s">
        <v>1207</v>
      </c>
      <c r="D442" s="59" t="s">
        <v>288</v>
      </c>
      <c r="E442" s="59" t="s">
        <v>1208</v>
      </c>
      <c r="F442" s="59" t="s">
        <v>177</v>
      </c>
      <c r="G442" s="59"/>
      <c r="H442" s="59" t="s">
        <v>1209</v>
      </c>
      <c r="I442" s="59" t="s">
        <v>1210</v>
      </c>
      <c r="J442" s="61" t="str">
        <f t="shared" si="16"/>
        <v>TinCRM Synergies EMEA, S.L.U.</v>
      </c>
      <c r="K442" s="61" t="str">
        <f t="shared" si="17"/>
        <v>TinCRM Synergies EMEA, S.L.U.</v>
      </c>
    </row>
    <row r="443" spans="1:11">
      <c r="A443" s="59" t="s">
        <v>146</v>
      </c>
      <c r="B443" s="59" t="s">
        <v>1211</v>
      </c>
      <c r="C443" s="59" t="s">
        <v>1211</v>
      </c>
      <c r="D443" s="59" t="s">
        <v>822</v>
      </c>
      <c r="E443" s="59" t="s">
        <v>1212</v>
      </c>
      <c r="F443" s="59" t="s">
        <v>177</v>
      </c>
      <c r="G443" s="59"/>
      <c r="H443" s="59" t="s">
        <v>1213</v>
      </c>
      <c r="I443" s="59" t="s">
        <v>1214</v>
      </c>
      <c r="J443" s="61" t="str">
        <f t="shared" si="16"/>
        <v>TinCV Ayi Jaya</v>
      </c>
      <c r="K443" s="61" t="str">
        <f t="shared" si="17"/>
        <v>TinCV Ayi Jaya</v>
      </c>
    </row>
    <row r="444" spans="1:11">
      <c r="A444" s="59" t="s">
        <v>146</v>
      </c>
      <c r="B444" s="59" t="s">
        <v>1215</v>
      </c>
      <c r="C444" s="59" t="s">
        <v>1216</v>
      </c>
      <c r="D444" s="59" t="s">
        <v>822</v>
      </c>
      <c r="E444" s="59" t="s">
        <v>1217</v>
      </c>
      <c r="F444" s="59" t="s">
        <v>177</v>
      </c>
      <c r="G444" s="59"/>
      <c r="H444" s="59" t="s">
        <v>1218</v>
      </c>
      <c r="I444" s="59" t="s">
        <v>1214</v>
      </c>
      <c r="J444" s="61" t="str">
        <f t="shared" si="16"/>
        <v>TinCV Nurjanah</v>
      </c>
      <c r="K444" s="61" t="str">
        <f t="shared" si="17"/>
        <v>TinCV Nurjanah</v>
      </c>
    </row>
    <row r="445" spans="1:11">
      <c r="A445" s="59" t="s">
        <v>146</v>
      </c>
      <c r="B445" s="59" t="s">
        <v>1219</v>
      </c>
      <c r="C445" s="59" t="s">
        <v>1220</v>
      </c>
      <c r="D445" s="59" t="s">
        <v>822</v>
      </c>
      <c r="E445" s="59" t="s">
        <v>1221</v>
      </c>
      <c r="F445" s="59" t="s">
        <v>177</v>
      </c>
      <c r="G445" s="59"/>
      <c r="H445" s="59" t="s">
        <v>1222</v>
      </c>
      <c r="I445" s="59" t="s">
        <v>1214</v>
      </c>
      <c r="J445" s="61" t="str">
        <f t="shared" si="16"/>
        <v>TinCV Serumpun Sebalai</v>
      </c>
      <c r="K445" s="61" t="str">
        <f t="shared" si="17"/>
        <v>TinCV Serumpun Sebalai</v>
      </c>
    </row>
    <row r="446" spans="1:11">
      <c r="A446" s="59" t="s">
        <v>146</v>
      </c>
      <c r="B446" s="59" t="s">
        <v>1223</v>
      </c>
      <c r="C446" s="59" t="s">
        <v>1224</v>
      </c>
      <c r="D446" s="59" t="s">
        <v>822</v>
      </c>
      <c r="E446" s="59" t="s">
        <v>1225</v>
      </c>
      <c r="F446" s="59" t="s">
        <v>177</v>
      </c>
      <c r="G446" s="59"/>
      <c r="H446" s="59" t="s">
        <v>1226</v>
      </c>
      <c r="I446" s="59" t="s">
        <v>1214</v>
      </c>
      <c r="J446" s="61" t="str">
        <f t="shared" si="16"/>
        <v>TinCV Tiga Sekawan</v>
      </c>
      <c r="K446" s="61" t="str">
        <f t="shared" si="17"/>
        <v>TinCV Tiga Sekawan</v>
      </c>
    </row>
    <row r="447" spans="1:11">
      <c r="A447" s="59" t="s">
        <v>146</v>
      </c>
      <c r="B447" s="59" t="s">
        <v>1227</v>
      </c>
      <c r="C447" s="59" t="s">
        <v>1227</v>
      </c>
      <c r="D447" s="59" t="s">
        <v>257</v>
      </c>
      <c r="E447" s="59" t="s">
        <v>1228</v>
      </c>
      <c r="F447" s="59" t="s">
        <v>177</v>
      </c>
      <c r="G447" s="59"/>
      <c r="H447" s="59" t="s">
        <v>1229</v>
      </c>
      <c r="I447" s="59" t="s">
        <v>897</v>
      </c>
      <c r="J447" s="61" t="str">
        <f t="shared" si="16"/>
        <v>TinDongguan Best Alloys Co., Ltd.</v>
      </c>
      <c r="K447" s="61" t="str">
        <f t="shared" si="17"/>
        <v>TinDongguan Best Alloys Co., Ltd.</v>
      </c>
    </row>
    <row r="448" spans="1:11">
      <c r="A448" s="59" t="s">
        <v>146</v>
      </c>
      <c r="B448" s="59" t="s">
        <v>1230</v>
      </c>
      <c r="C448" s="59" t="s">
        <v>1230</v>
      </c>
      <c r="D448" s="59" t="s">
        <v>257</v>
      </c>
      <c r="E448" s="59" t="s">
        <v>1231</v>
      </c>
      <c r="F448" s="59" t="s">
        <v>177</v>
      </c>
      <c r="G448" s="59"/>
      <c r="H448" s="59" t="s">
        <v>1232</v>
      </c>
      <c r="I448" s="59" t="s">
        <v>897</v>
      </c>
      <c r="J448" s="61" t="str">
        <f t="shared" si="16"/>
        <v>TinDongguan CiEXPO Environmental Engineering Co., Ltd.</v>
      </c>
      <c r="K448" s="61" t="str">
        <f t="shared" si="17"/>
        <v>TinDongguan CiEXPO Environmental Engineering Co., Ltd.</v>
      </c>
    </row>
    <row r="449" spans="1:11">
      <c r="A449" s="59" t="s">
        <v>146</v>
      </c>
      <c r="B449" s="59" t="s">
        <v>1233</v>
      </c>
      <c r="C449" s="59" t="s">
        <v>1227</v>
      </c>
      <c r="D449" s="59" t="s">
        <v>257</v>
      </c>
      <c r="E449" s="59" t="s">
        <v>1228</v>
      </c>
      <c r="F449" s="59" t="s">
        <v>177</v>
      </c>
      <c r="G449" s="59"/>
      <c r="H449" s="59" t="s">
        <v>1229</v>
      </c>
      <c r="I449" s="59" t="s">
        <v>897</v>
      </c>
      <c r="J449" s="61" t="str">
        <f t="shared" si="16"/>
        <v>TinDongGuan DaLang BaoTai Solder Products Factory</v>
      </c>
      <c r="K449" s="61" t="str">
        <f t="shared" si="17"/>
        <v>TinDongGuan DaLang BaoTai Solder Products Factory</v>
      </c>
    </row>
    <row r="450" spans="1:11">
      <c r="A450" s="59" t="s">
        <v>146</v>
      </c>
      <c r="B450" s="59" t="s">
        <v>218</v>
      </c>
      <c r="C450" s="59" t="s">
        <v>218</v>
      </c>
      <c r="D450" s="59" t="s">
        <v>213</v>
      </c>
      <c r="E450" s="59" t="s">
        <v>1234</v>
      </c>
      <c r="F450" s="59" t="s">
        <v>177</v>
      </c>
      <c r="G450" s="59"/>
      <c r="H450" s="59" t="s">
        <v>1235</v>
      </c>
      <c r="I450" s="59" t="s">
        <v>221</v>
      </c>
      <c r="J450" s="61" t="str">
        <f t="shared" si="16"/>
        <v>TinDowa</v>
      </c>
      <c r="K450" s="61" t="str">
        <f t="shared" si="17"/>
        <v>TinDowa</v>
      </c>
    </row>
    <row r="451" spans="1:11">
      <c r="A451" s="59" t="s">
        <v>146</v>
      </c>
      <c r="B451" s="59" t="s">
        <v>1236</v>
      </c>
      <c r="C451" s="59" t="s">
        <v>218</v>
      </c>
      <c r="D451" s="59" t="s">
        <v>213</v>
      </c>
      <c r="E451" s="59" t="s">
        <v>1234</v>
      </c>
      <c r="F451" s="59" t="s">
        <v>177</v>
      </c>
      <c r="G451" s="59"/>
      <c r="H451" s="59" t="s">
        <v>1235</v>
      </c>
      <c r="I451" s="59" t="s">
        <v>221</v>
      </c>
      <c r="J451" s="61" t="str">
        <f t="shared" si="16"/>
        <v>TinDowa Metaltech Co., Ltd.</v>
      </c>
      <c r="K451" s="61" t="str">
        <f t="shared" si="17"/>
        <v>TinDowa Metaltech Co., Ltd.</v>
      </c>
    </row>
    <row r="452" spans="1:11">
      <c r="A452" s="59" t="s">
        <v>146</v>
      </c>
      <c r="B452" s="59" t="s">
        <v>1237</v>
      </c>
      <c r="C452" s="59" t="s">
        <v>1237</v>
      </c>
      <c r="D452" s="59" t="s">
        <v>1164</v>
      </c>
      <c r="E452" s="59" t="s">
        <v>1238</v>
      </c>
      <c r="F452" s="59" t="s">
        <v>177</v>
      </c>
      <c r="G452" s="59"/>
      <c r="H452" s="59" t="s">
        <v>1239</v>
      </c>
      <c r="I452" s="59" t="s">
        <v>1240</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1241</v>
      </c>
      <c r="C453" s="59" t="s">
        <v>1241</v>
      </c>
      <c r="D453" s="59" t="s">
        <v>1242</v>
      </c>
      <c r="E453" s="59" t="s">
        <v>1243</v>
      </c>
      <c r="F453" s="59" t="s">
        <v>177</v>
      </c>
      <c r="G453" s="59"/>
      <c r="H453" s="59" t="s">
        <v>1244</v>
      </c>
      <c r="I453" s="59" t="s">
        <v>1244</v>
      </c>
      <c r="J453" s="61" t="str">
        <f t="shared" si="18"/>
        <v>TinEM Vinto</v>
      </c>
      <c r="K453" s="61" t="str">
        <f t="shared" si="19"/>
        <v>TinEM Vinto</v>
      </c>
    </row>
    <row r="454" spans="1:11">
      <c r="A454" s="59" t="s">
        <v>146</v>
      </c>
      <c r="B454" s="59" t="s">
        <v>1245</v>
      </c>
      <c r="C454" s="59" t="s">
        <v>1241</v>
      </c>
      <c r="D454" s="59" t="s">
        <v>1242</v>
      </c>
      <c r="E454" s="59" t="s">
        <v>1243</v>
      </c>
      <c r="F454" s="59" t="s">
        <v>177</v>
      </c>
      <c r="G454" s="59"/>
      <c r="H454" s="59" t="s">
        <v>1244</v>
      </c>
      <c r="I454" s="59" t="s">
        <v>1244</v>
      </c>
      <c r="J454" s="61" t="str">
        <f t="shared" si="18"/>
        <v>TinEmpresa Metalúrgica Vinto</v>
      </c>
      <c r="K454" s="61" t="str">
        <f t="shared" si="19"/>
        <v>TinEmpresa Metalúrgica Vinto</v>
      </c>
    </row>
    <row r="455" spans="1:11">
      <c r="A455" s="59" t="s">
        <v>146</v>
      </c>
      <c r="B455" s="59" t="s">
        <v>1246</v>
      </c>
      <c r="C455" s="59" t="s">
        <v>1241</v>
      </c>
      <c r="D455" s="59" t="s">
        <v>1242</v>
      </c>
      <c r="E455" s="59" t="s">
        <v>1243</v>
      </c>
      <c r="F455" s="59" t="s">
        <v>177</v>
      </c>
      <c r="G455" s="59"/>
      <c r="H455" s="59" t="s">
        <v>1244</v>
      </c>
      <c r="I455" s="59" t="s">
        <v>1244</v>
      </c>
      <c r="J455" s="61" t="str">
        <f t="shared" si="18"/>
        <v>TinEmpressa Nacional de Fundiciones (ENAF)</v>
      </c>
      <c r="K455" s="61" t="str">
        <f t="shared" si="19"/>
        <v>TinEmpressa Nacional de Fundiciones (ENAF)</v>
      </c>
    </row>
    <row r="456" spans="1:11">
      <c r="A456" s="59" t="s">
        <v>146</v>
      </c>
      <c r="B456" s="59" t="s">
        <v>1247</v>
      </c>
      <c r="C456" s="59" t="s">
        <v>1241</v>
      </c>
      <c r="D456" s="59" t="s">
        <v>1242</v>
      </c>
      <c r="E456" s="59" t="s">
        <v>1243</v>
      </c>
      <c r="F456" s="59" t="s">
        <v>177</v>
      </c>
      <c r="G456" s="59"/>
      <c r="H456" s="59" t="s">
        <v>1244</v>
      </c>
      <c r="I456" s="59" t="s">
        <v>1244</v>
      </c>
      <c r="J456" s="61" t="str">
        <f t="shared" si="18"/>
        <v>TinENAF</v>
      </c>
      <c r="K456" s="61" t="str">
        <f t="shared" si="19"/>
        <v>TinENAF</v>
      </c>
    </row>
    <row r="457" spans="1:11">
      <c r="A457" s="59" t="s">
        <v>146</v>
      </c>
      <c r="B457" s="59" t="s">
        <v>1248</v>
      </c>
      <c r="C457" s="59" t="s">
        <v>1248</v>
      </c>
      <c r="D457" s="59" t="s">
        <v>250</v>
      </c>
      <c r="E457" s="59" t="s">
        <v>1249</v>
      </c>
      <c r="F457" s="59" t="s">
        <v>177</v>
      </c>
      <c r="G457" s="59"/>
      <c r="H457" s="59" t="s">
        <v>1250</v>
      </c>
      <c r="I457" s="59" t="s">
        <v>1251</v>
      </c>
      <c r="J457" s="61" t="str">
        <f t="shared" si="18"/>
        <v>TinEstanho de Rondonia S.A.</v>
      </c>
      <c r="K457" s="61" t="str">
        <f t="shared" si="19"/>
        <v>TinEstanho de Rondonia S.A.</v>
      </c>
    </row>
    <row r="458" spans="1:11">
      <c r="A458" s="59" t="s">
        <v>146</v>
      </c>
      <c r="B458" s="59" t="s">
        <v>1252</v>
      </c>
      <c r="C458" s="59" t="s">
        <v>1248</v>
      </c>
      <c r="D458" s="59" t="s">
        <v>250</v>
      </c>
      <c r="E458" s="59" t="s">
        <v>1249</v>
      </c>
      <c r="F458" s="59" t="s">
        <v>177</v>
      </c>
      <c r="G458" s="59"/>
      <c r="H458" s="59" t="s">
        <v>1250</v>
      </c>
      <c r="I458" s="59" t="s">
        <v>1251</v>
      </c>
      <c r="J458" s="61" t="str">
        <f t="shared" si="18"/>
        <v>TinEstanho de Rondônia S.A.</v>
      </c>
      <c r="K458" s="61" t="str">
        <f t="shared" si="19"/>
        <v>TinEstanho de Rondônia S.A.</v>
      </c>
    </row>
    <row r="459" spans="1:11">
      <c r="A459" s="59" t="s">
        <v>146</v>
      </c>
      <c r="B459" s="59" t="s">
        <v>1253</v>
      </c>
      <c r="C459" s="59" t="s">
        <v>1254</v>
      </c>
      <c r="D459" s="59" t="s">
        <v>250</v>
      </c>
      <c r="E459" s="59" t="s">
        <v>1255</v>
      </c>
      <c r="F459" s="59" t="s">
        <v>177</v>
      </c>
      <c r="G459" s="59"/>
      <c r="H459" s="59" t="s">
        <v>1256</v>
      </c>
      <c r="I459" s="59" t="s">
        <v>677</v>
      </c>
      <c r="J459" s="61" t="str">
        <f t="shared" si="18"/>
        <v>TinFabrica Auricchio</v>
      </c>
      <c r="K459" s="61" t="str">
        <f t="shared" si="19"/>
        <v>TinFabrica Auricchio</v>
      </c>
    </row>
    <row r="460" spans="1:11">
      <c r="A460" s="59" t="s">
        <v>146</v>
      </c>
      <c r="B460" s="59" t="s">
        <v>1257</v>
      </c>
      <c r="C460" s="59" t="s">
        <v>1254</v>
      </c>
      <c r="D460" s="59" t="s">
        <v>250</v>
      </c>
      <c r="E460" s="59" t="s">
        <v>1255</v>
      </c>
      <c r="F460" s="59" t="s">
        <v>177</v>
      </c>
      <c r="G460" s="59"/>
      <c r="H460" s="59" t="s">
        <v>1256</v>
      </c>
      <c r="I460" s="59" t="s">
        <v>677</v>
      </c>
      <c r="J460" s="61" t="str">
        <f t="shared" si="18"/>
        <v>TinFábrica Auricchio</v>
      </c>
      <c r="K460" s="61" t="str">
        <f t="shared" si="19"/>
        <v>TinFábrica Auricchio</v>
      </c>
    </row>
    <row r="461" spans="1:11">
      <c r="A461" s="59" t="s">
        <v>146</v>
      </c>
      <c r="B461" s="59" t="s">
        <v>1254</v>
      </c>
      <c r="C461" s="59" t="s">
        <v>1254</v>
      </c>
      <c r="D461" s="59" t="s">
        <v>250</v>
      </c>
      <c r="E461" s="59" t="s">
        <v>1255</v>
      </c>
      <c r="F461" s="59" t="s">
        <v>177</v>
      </c>
      <c r="G461" s="59"/>
      <c r="H461" s="59" t="s">
        <v>1256</v>
      </c>
      <c r="I461" s="59" t="s">
        <v>677</v>
      </c>
      <c r="J461" s="61" t="str">
        <f t="shared" si="18"/>
        <v>TinFabrica Auricchio Industria e Comercio Ltda.</v>
      </c>
      <c r="K461" s="61" t="str">
        <f t="shared" si="19"/>
        <v>TinFabrica Auricchio Industria e Comercio Ltda.</v>
      </c>
    </row>
    <row r="462" spans="1:11">
      <c r="A462" s="59" t="s">
        <v>146</v>
      </c>
      <c r="B462" s="59" t="s">
        <v>1258</v>
      </c>
      <c r="C462" s="59" t="s">
        <v>1258</v>
      </c>
      <c r="D462" s="59" t="s">
        <v>623</v>
      </c>
      <c r="E462" s="59" t="s">
        <v>1259</v>
      </c>
      <c r="F462" s="59" t="s">
        <v>177</v>
      </c>
      <c r="G462" s="59"/>
      <c r="H462" s="59" t="s">
        <v>1260</v>
      </c>
      <c r="I462" s="59" t="s">
        <v>1261</v>
      </c>
      <c r="J462" s="61" t="str">
        <f t="shared" si="18"/>
        <v>TinFenix Metals</v>
      </c>
      <c r="K462" s="61" t="str">
        <f t="shared" si="19"/>
        <v>TinFenix Metals</v>
      </c>
    </row>
    <row r="463" spans="1:11">
      <c r="A463" s="59" t="s">
        <v>146</v>
      </c>
      <c r="B463" s="59" t="s">
        <v>1262</v>
      </c>
      <c r="C463" s="59" t="s">
        <v>1263</v>
      </c>
      <c r="D463" s="59" t="s">
        <v>264</v>
      </c>
      <c r="E463" s="59" t="s">
        <v>1264</v>
      </c>
      <c r="F463" s="59" t="s">
        <v>177</v>
      </c>
      <c r="G463" s="59"/>
      <c r="H463" s="59" t="s">
        <v>1265</v>
      </c>
      <c r="I463" s="59" t="s">
        <v>1266</v>
      </c>
      <c r="J463" s="61" t="str">
        <f t="shared" si="18"/>
        <v>TinFunsur Smelter</v>
      </c>
      <c r="K463" s="61" t="str">
        <f t="shared" si="19"/>
        <v>TinFunsur Smelter</v>
      </c>
    </row>
    <row r="464" spans="1:11">
      <c r="A464" s="59" t="s">
        <v>146</v>
      </c>
      <c r="B464" s="59" t="s">
        <v>1267</v>
      </c>
      <c r="C464" s="59" t="s">
        <v>1177</v>
      </c>
      <c r="D464" s="59" t="s">
        <v>257</v>
      </c>
      <c r="E464" s="59" t="s">
        <v>1178</v>
      </c>
      <c r="F464" s="59" t="s">
        <v>177</v>
      </c>
      <c r="G464" s="59"/>
      <c r="H464" s="59" t="s">
        <v>1179</v>
      </c>
      <c r="I464" s="59" t="s">
        <v>379</v>
      </c>
      <c r="J464" s="61" t="str">
        <f t="shared" si="18"/>
        <v>TinGejiu City Datun Chengfeng Smelter</v>
      </c>
      <c r="K464" s="61" t="str">
        <f t="shared" si="19"/>
        <v>TinGejiu City Datun Chengfeng Smelter</v>
      </c>
    </row>
    <row r="465" spans="1:11">
      <c r="A465" s="59" t="s">
        <v>146</v>
      </c>
      <c r="B465" s="59" t="s">
        <v>1268</v>
      </c>
      <c r="C465" s="59" t="s">
        <v>1268</v>
      </c>
      <c r="D465" s="59" t="s">
        <v>257</v>
      </c>
      <c r="E465" s="59" t="s">
        <v>1269</v>
      </c>
      <c r="F465" s="59" t="s">
        <v>177</v>
      </c>
      <c r="G465" s="59"/>
      <c r="H465" s="59" t="s">
        <v>1179</v>
      </c>
      <c r="I465" s="59" t="s">
        <v>379</v>
      </c>
      <c r="J465" s="61" t="str">
        <f t="shared" si="18"/>
        <v>TinGejiu City Fuxiang Industry and Trade Co., Ltd.</v>
      </c>
      <c r="K465" s="61" t="str">
        <f t="shared" si="19"/>
        <v>TinGejiu City Fuxiang Industry and Trade Co., Ltd.</v>
      </c>
    </row>
    <row r="466" spans="1:11">
      <c r="A466" s="59" t="s">
        <v>146</v>
      </c>
      <c r="B466" s="59" t="s">
        <v>1270</v>
      </c>
      <c r="C466" s="59" t="s">
        <v>1268</v>
      </c>
      <c r="D466" s="59" t="s">
        <v>257</v>
      </c>
      <c r="E466" s="59" t="s">
        <v>1269</v>
      </c>
      <c r="F466" s="59" t="s">
        <v>177</v>
      </c>
      <c r="G466" s="59"/>
      <c r="H466" s="59" t="s">
        <v>1179</v>
      </c>
      <c r="I466" s="59" t="s">
        <v>379</v>
      </c>
      <c r="J466" s="61" t="str">
        <f t="shared" si="18"/>
        <v>TinGejiu Fuxiang Gongmao Co., Ltd.</v>
      </c>
      <c r="K466" s="61" t="str">
        <f t="shared" si="19"/>
        <v>TinGejiu Fuxiang Gongmao Co., Ltd.</v>
      </c>
    </row>
    <row r="467" spans="1:11">
      <c r="A467" s="59" t="s">
        <v>146</v>
      </c>
      <c r="B467" s="59" t="s">
        <v>1271</v>
      </c>
      <c r="C467" s="59" t="s">
        <v>1271</v>
      </c>
      <c r="D467" s="59" t="s">
        <v>257</v>
      </c>
      <c r="E467" s="59" t="s">
        <v>1272</v>
      </c>
      <c r="F467" s="59" t="s">
        <v>177</v>
      </c>
      <c r="G467" s="59"/>
      <c r="H467" s="59" t="s">
        <v>1179</v>
      </c>
      <c r="I467" s="59" t="s">
        <v>379</v>
      </c>
      <c r="J467" s="61" t="str">
        <f t="shared" si="18"/>
        <v>TinGejiu Kai Meng Industry and Trade LLC</v>
      </c>
      <c r="K467" s="61" t="str">
        <f t="shared" si="19"/>
        <v>TinGejiu Kai Meng Industry and Trade LLC</v>
      </c>
    </row>
    <row r="468" spans="1:11">
      <c r="A468" s="59" t="s">
        <v>146</v>
      </c>
      <c r="B468" s="59" t="s">
        <v>157</v>
      </c>
      <c r="C468" s="59" t="s">
        <v>157</v>
      </c>
      <c r="D468" s="59" t="s">
        <v>257</v>
      </c>
      <c r="E468" s="59" t="s">
        <v>156</v>
      </c>
      <c r="F468" s="59" t="s">
        <v>177</v>
      </c>
      <c r="G468" s="59"/>
      <c r="H468" s="59" t="s">
        <v>1179</v>
      </c>
      <c r="I468" s="59" t="s">
        <v>379</v>
      </c>
      <c r="J468" s="61" t="str">
        <f t="shared" si="18"/>
        <v>TinGejiu Non-Ferrous Metal Processing Co., Ltd.</v>
      </c>
      <c r="K468" s="61" t="str">
        <f t="shared" si="19"/>
        <v>TinGejiu Non-Ferrous Metal Processing Co., Ltd.</v>
      </c>
    </row>
    <row r="469" spans="1:11">
      <c r="A469" s="59" t="s">
        <v>146</v>
      </c>
      <c r="B469" s="59" t="s">
        <v>1273</v>
      </c>
      <c r="C469" s="59" t="s">
        <v>1273</v>
      </c>
      <c r="D469" s="59" t="s">
        <v>257</v>
      </c>
      <c r="E469" s="59" t="s">
        <v>1274</v>
      </c>
      <c r="F469" s="59" t="s">
        <v>177</v>
      </c>
      <c r="G469" s="59"/>
      <c r="H469" s="59" t="s">
        <v>1179</v>
      </c>
      <c r="I469" s="59" t="s">
        <v>379</v>
      </c>
      <c r="J469" s="61" t="str">
        <f t="shared" si="18"/>
        <v>TinGejiu Yunxin Nonferrous Electrolysis Co., Ltd.</v>
      </c>
      <c r="K469" s="61" t="str">
        <f t="shared" si="19"/>
        <v>TinGejiu Yunxin Nonferrous Electrolysis Co., Ltd.</v>
      </c>
    </row>
    <row r="470" spans="1:11">
      <c r="A470" s="59" t="s">
        <v>146</v>
      </c>
      <c r="B470" s="59" t="s">
        <v>1275</v>
      </c>
      <c r="C470" s="59" t="s">
        <v>1276</v>
      </c>
      <c r="D470" s="59" t="s">
        <v>257</v>
      </c>
      <c r="E470" s="59" t="s">
        <v>1277</v>
      </c>
      <c r="F470" s="59" t="s">
        <v>177</v>
      </c>
      <c r="G470" s="59"/>
      <c r="H470" s="59" t="s">
        <v>1179</v>
      </c>
      <c r="I470" s="59" t="s">
        <v>379</v>
      </c>
      <c r="J470" s="61" t="str">
        <f t="shared" si="18"/>
        <v>TinGejiu Zi-Li</v>
      </c>
      <c r="K470" s="61" t="str">
        <f t="shared" si="19"/>
        <v>TinGejiu Zi-Li</v>
      </c>
    </row>
    <row r="471" spans="1:11">
      <c r="A471" s="59" t="s">
        <v>146</v>
      </c>
      <c r="B471" s="59" t="s">
        <v>1276</v>
      </c>
      <c r="C471" s="59" t="s">
        <v>1276</v>
      </c>
      <c r="D471" s="59" t="s">
        <v>257</v>
      </c>
      <c r="E471" s="59" t="s">
        <v>1277</v>
      </c>
      <c r="F471" s="59" t="s">
        <v>177</v>
      </c>
      <c r="G471" s="59"/>
      <c r="H471" s="59" t="s">
        <v>1179</v>
      </c>
      <c r="I471" s="59" t="s">
        <v>379</v>
      </c>
      <c r="J471" s="61" t="str">
        <f t="shared" si="18"/>
        <v>TinGejiu Zili Mining And Metallurgy Co., Ltd.</v>
      </c>
      <c r="K471" s="61" t="str">
        <f t="shared" si="19"/>
        <v>TinGejiu Zili Mining And Metallurgy Co., Ltd.</v>
      </c>
    </row>
    <row r="472" spans="1:11">
      <c r="A472" s="59" t="s">
        <v>146</v>
      </c>
      <c r="B472" s="59" t="s">
        <v>1278</v>
      </c>
      <c r="C472" s="59" t="s">
        <v>1278</v>
      </c>
      <c r="D472" s="59" t="s">
        <v>181</v>
      </c>
      <c r="E472" s="59" t="s">
        <v>1279</v>
      </c>
      <c r="F472" s="59" t="s">
        <v>177</v>
      </c>
      <c r="G472" s="59"/>
      <c r="H472" s="59" t="s">
        <v>1280</v>
      </c>
      <c r="I472" s="59" t="s">
        <v>208</v>
      </c>
      <c r="J472" s="61" t="str">
        <f t="shared" si="18"/>
        <v>TinGlobal Advanced Metals Greenbushes Pty Ltd.</v>
      </c>
      <c r="K472" s="61" t="str">
        <f t="shared" si="19"/>
        <v>TinGlobal Advanced Metals Greenbushes Pty Ltd.</v>
      </c>
    </row>
    <row r="473" spans="1:11">
      <c r="A473" s="59" t="s">
        <v>146</v>
      </c>
      <c r="B473" s="59" t="s">
        <v>1281</v>
      </c>
      <c r="C473" s="59" t="s">
        <v>1187</v>
      </c>
      <c r="D473" s="59" t="s">
        <v>257</v>
      </c>
      <c r="E473" s="59" t="s">
        <v>154</v>
      </c>
      <c r="F473" s="59" t="s">
        <v>177</v>
      </c>
      <c r="G473" s="59"/>
      <c r="H473" s="59" t="s">
        <v>1188</v>
      </c>
      <c r="I473" s="59" t="s">
        <v>1189</v>
      </c>
      <c r="J473" s="61" t="str">
        <f t="shared" si="18"/>
        <v>TinGuang Xi Liu Xhou</v>
      </c>
      <c r="K473" s="61" t="str">
        <f t="shared" si="19"/>
        <v>TinGuang Xi Liu Xhou</v>
      </c>
    </row>
    <row r="474" spans="1:11">
      <c r="A474" s="59" t="s">
        <v>146</v>
      </c>
      <c r="B474" s="59" t="s">
        <v>1282</v>
      </c>
      <c r="C474" s="59" t="s">
        <v>1187</v>
      </c>
      <c r="D474" s="59" t="s">
        <v>257</v>
      </c>
      <c r="E474" s="59" t="s">
        <v>154</v>
      </c>
      <c r="F474" s="59" t="s">
        <v>177</v>
      </c>
      <c r="G474" s="59"/>
      <c r="H474" s="59" t="s">
        <v>1188</v>
      </c>
      <c r="I474" s="59" t="s">
        <v>1189</v>
      </c>
      <c r="J474" s="61" t="str">
        <f t="shared" si="18"/>
        <v>TinGuang Xi Liu Zhou</v>
      </c>
      <c r="K474" s="61" t="str">
        <f t="shared" si="19"/>
        <v>TinGuang Xi Liu Zhou</v>
      </c>
    </row>
    <row r="475" spans="1:11">
      <c r="A475" s="59" t="s">
        <v>146</v>
      </c>
      <c r="B475" s="59" t="s">
        <v>1283</v>
      </c>
      <c r="C475" s="59" t="s">
        <v>1283</v>
      </c>
      <c r="D475" s="59" t="s">
        <v>257</v>
      </c>
      <c r="E475" s="59" t="s">
        <v>1284</v>
      </c>
      <c r="F475" s="59" t="s">
        <v>177</v>
      </c>
      <c r="G475" s="59"/>
      <c r="H475" s="59" t="s">
        <v>1285</v>
      </c>
      <c r="I475" s="59" t="s">
        <v>897</v>
      </c>
      <c r="J475" s="61" t="str">
        <f t="shared" si="18"/>
        <v>TinGuangdong Hanhe Non-Ferrous Metal Co., Ltd.</v>
      </c>
      <c r="K475" s="61" t="str">
        <f t="shared" si="19"/>
        <v>TinGuangdong Hanhe Non-Ferrous Metal Co., Ltd.</v>
      </c>
    </row>
    <row r="476" spans="1:11">
      <c r="A476" s="59" t="s">
        <v>146</v>
      </c>
      <c r="B476" s="59" t="s">
        <v>1286</v>
      </c>
      <c r="C476" s="59" t="s">
        <v>1187</v>
      </c>
      <c r="D476" s="59" t="s">
        <v>257</v>
      </c>
      <c r="E476" s="59" t="s">
        <v>154</v>
      </c>
      <c r="F476" s="59" t="s">
        <v>177</v>
      </c>
      <c r="G476" s="59"/>
      <c r="H476" s="59" t="s">
        <v>1188</v>
      </c>
      <c r="I476" s="59" t="s">
        <v>1189</v>
      </c>
      <c r="J476" s="61" t="str">
        <f t="shared" si="18"/>
        <v>TinGuangXi China Tin</v>
      </c>
      <c r="K476" s="61" t="str">
        <f t="shared" si="19"/>
        <v>TinGuangXi China Tin</v>
      </c>
    </row>
    <row r="477" spans="1:11">
      <c r="A477" s="59" t="s">
        <v>146</v>
      </c>
      <c r="B477" s="59" t="s">
        <v>1287</v>
      </c>
      <c r="C477" s="59" t="s">
        <v>1187</v>
      </c>
      <c r="D477" s="59" t="s">
        <v>257</v>
      </c>
      <c r="E477" s="59" t="s">
        <v>154</v>
      </c>
      <c r="F477" s="59" t="s">
        <v>177</v>
      </c>
      <c r="G477" s="59"/>
      <c r="H477" s="59" t="s">
        <v>1188</v>
      </c>
      <c r="I477" s="59" t="s">
        <v>1189</v>
      </c>
      <c r="J477" s="61" t="str">
        <f t="shared" si="18"/>
        <v>TinGuangxi Hua Shu Dan CO., LTD.</v>
      </c>
      <c r="K477" s="61" t="str">
        <f t="shared" si="19"/>
        <v>TinGuangxi Hua Shu Dan CO., LTD.</v>
      </c>
    </row>
    <row r="478" spans="1:11">
      <c r="A478" s="59" t="s">
        <v>146</v>
      </c>
      <c r="B478" s="59" t="s">
        <v>1288</v>
      </c>
      <c r="C478" s="59" t="s">
        <v>736</v>
      </c>
      <c r="D478" s="59" t="s">
        <v>213</v>
      </c>
      <c r="E478" s="59" t="s">
        <v>1289</v>
      </c>
      <c r="F478" s="59" t="s">
        <v>177</v>
      </c>
      <c r="G478" s="59"/>
      <c r="H478" s="59" t="s">
        <v>1290</v>
      </c>
      <c r="I478" s="59" t="s">
        <v>1291</v>
      </c>
      <c r="J478" s="61" t="str">
        <f t="shared" si="18"/>
        <v>TinIkuno Tin Smelter</v>
      </c>
      <c r="K478" s="61" t="str">
        <f t="shared" si="19"/>
        <v>TinIkuno Tin Smelter</v>
      </c>
    </row>
    <row r="479" spans="1:11">
      <c r="A479" s="59" t="s">
        <v>146</v>
      </c>
      <c r="B479" s="59" t="s">
        <v>1292</v>
      </c>
      <c r="C479" s="59" t="s">
        <v>1293</v>
      </c>
      <c r="D479" s="59" t="s">
        <v>822</v>
      </c>
      <c r="E479" s="59" t="s">
        <v>1294</v>
      </c>
      <c r="F479" s="59" t="s">
        <v>177</v>
      </c>
      <c r="G479" s="59"/>
      <c r="H479" s="59" t="s">
        <v>1295</v>
      </c>
      <c r="I479" s="59" t="s">
        <v>1214</v>
      </c>
      <c r="J479" s="61" t="str">
        <f t="shared" si="18"/>
        <v>TinINDONESIAN STATE TIN CORPORATION MENTOK SMELTER</v>
      </c>
      <c r="K479" s="61" t="str">
        <f t="shared" si="19"/>
        <v>TinINDONESIAN STATE TIN CORPORATION MENTOK SMELTER</v>
      </c>
    </row>
    <row r="480" spans="1:11">
      <c r="A480" s="59" t="s">
        <v>146</v>
      </c>
      <c r="B480" s="59" t="s">
        <v>1296</v>
      </c>
      <c r="C480" s="59" t="s">
        <v>1297</v>
      </c>
      <c r="D480" s="59" t="s">
        <v>257</v>
      </c>
      <c r="E480" s="59" t="s">
        <v>1298</v>
      </c>
      <c r="F480" s="59" t="s">
        <v>177</v>
      </c>
      <c r="G480" s="59"/>
      <c r="H480" s="59" t="s">
        <v>1299</v>
      </c>
      <c r="I480" s="59" t="s">
        <v>593</v>
      </c>
      <c r="J480" s="61" t="str">
        <f t="shared" si="18"/>
        <v>TinJiangxi Nanshan</v>
      </c>
      <c r="K480" s="61" t="str">
        <f t="shared" si="19"/>
        <v>TinJiangxi Nanshan</v>
      </c>
    </row>
    <row r="481" spans="1:11">
      <c r="A481" s="59" t="s">
        <v>146</v>
      </c>
      <c r="B481" s="59" t="s">
        <v>1297</v>
      </c>
      <c r="C481" s="59" t="s">
        <v>1297</v>
      </c>
      <c r="D481" s="59" t="s">
        <v>257</v>
      </c>
      <c r="E481" s="59" t="s">
        <v>1298</v>
      </c>
      <c r="F481" s="59" t="s">
        <v>177</v>
      </c>
      <c r="G481" s="59"/>
      <c r="H481" s="59" t="s">
        <v>1299</v>
      </c>
      <c r="I481" s="59" t="s">
        <v>593</v>
      </c>
      <c r="J481" s="61" t="str">
        <f t="shared" si="18"/>
        <v>TinJiangxi New Nanshan Technology Ltd.</v>
      </c>
      <c r="K481" s="61" t="str">
        <f t="shared" si="19"/>
        <v>TinJiangxi New Nanshan Technology Ltd.</v>
      </c>
    </row>
    <row r="482" spans="1:11">
      <c r="A482" s="59" t="s">
        <v>146</v>
      </c>
      <c r="B482" s="59" t="s">
        <v>1300</v>
      </c>
      <c r="C482" s="59" t="s">
        <v>1271</v>
      </c>
      <c r="D482" s="59" t="s">
        <v>257</v>
      </c>
      <c r="E482" s="59" t="s">
        <v>1272</v>
      </c>
      <c r="F482" s="59" t="s">
        <v>177</v>
      </c>
      <c r="G482" s="59"/>
      <c r="H482" s="59" t="s">
        <v>1179</v>
      </c>
      <c r="I482" s="59" t="s">
        <v>379</v>
      </c>
      <c r="J482" s="61" t="str">
        <f t="shared" si="18"/>
        <v>TinKai Union Industry and Trade Co., Ltd. (China)</v>
      </c>
      <c r="K482" s="61" t="str">
        <f t="shared" si="19"/>
        <v>TinKai Union Industry and Trade Co., Ltd. (China)</v>
      </c>
    </row>
    <row r="483" spans="1:11">
      <c r="A483" s="59" t="s">
        <v>146</v>
      </c>
      <c r="B483" s="59" t="s">
        <v>1301</v>
      </c>
      <c r="C483" s="59" t="s">
        <v>1271</v>
      </c>
      <c r="D483" s="59" t="s">
        <v>257</v>
      </c>
      <c r="E483" s="59" t="s">
        <v>1272</v>
      </c>
      <c r="F483" s="59" t="s">
        <v>177</v>
      </c>
      <c r="G483" s="59"/>
      <c r="H483" s="59" t="s">
        <v>1179</v>
      </c>
      <c r="I483" s="59" t="s">
        <v>379</v>
      </c>
      <c r="J483" s="61" t="str">
        <f t="shared" si="18"/>
        <v>TinKai Unita Trade Limited Liability Company</v>
      </c>
      <c r="K483" s="61" t="str">
        <f t="shared" si="19"/>
        <v>TinKai Unita Trade Limited Liability Company</v>
      </c>
    </row>
    <row r="484" spans="1:11">
      <c r="A484" s="59" t="s">
        <v>146</v>
      </c>
      <c r="B484" s="59" t="s">
        <v>1302</v>
      </c>
      <c r="C484" s="59" t="s">
        <v>1271</v>
      </c>
      <c r="D484" s="59" t="s">
        <v>257</v>
      </c>
      <c r="E484" s="59" t="s">
        <v>1272</v>
      </c>
      <c r="F484" s="59" t="s">
        <v>177</v>
      </c>
      <c r="G484" s="59"/>
      <c r="H484" s="59" t="s">
        <v>1179</v>
      </c>
      <c r="I484" s="59" t="s">
        <v>379</v>
      </c>
      <c r="J484" s="61" t="str">
        <f t="shared" si="18"/>
        <v>TinKaimeng (Gejiu) Industry and Trade Co., Ltd.</v>
      </c>
      <c r="K484" s="61" t="str">
        <f t="shared" si="19"/>
        <v>TinKaimeng (Gejiu) Industry and Trade Co., Ltd.</v>
      </c>
    </row>
    <row r="485" spans="1:11">
      <c r="A485" s="59" t="s">
        <v>146</v>
      </c>
      <c r="B485" s="59" t="s">
        <v>1303</v>
      </c>
      <c r="C485" s="59" t="s">
        <v>1304</v>
      </c>
      <c r="D485" s="59" t="s">
        <v>822</v>
      </c>
      <c r="E485" s="59" t="s">
        <v>1305</v>
      </c>
      <c r="F485" s="59" t="s">
        <v>177</v>
      </c>
      <c r="G485" s="59"/>
      <c r="H485" s="59" t="s">
        <v>1306</v>
      </c>
      <c r="I485" s="59" t="s">
        <v>1307</v>
      </c>
      <c r="J485" s="61" t="str">
        <f t="shared" si="18"/>
        <v>TinKundur Smelter</v>
      </c>
      <c r="K485" s="61" t="str">
        <f t="shared" si="19"/>
        <v>TinKundur Smelter</v>
      </c>
    </row>
    <row r="486" spans="1:11">
      <c r="A486" s="59" t="s">
        <v>146</v>
      </c>
      <c r="B486" s="59" t="s">
        <v>1308</v>
      </c>
      <c r="C486" s="59" t="s">
        <v>1187</v>
      </c>
      <c r="D486" s="59" t="s">
        <v>257</v>
      </c>
      <c r="E486" s="59" t="s">
        <v>154</v>
      </c>
      <c r="F486" s="59" t="s">
        <v>177</v>
      </c>
      <c r="G486" s="59"/>
      <c r="H486" s="59" t="s">
        <v>1188</v>
      </c>
      <c r="I486" s="59" t="s">
        <v>1189</v>
      </c>
      <c r="J486" s="61" t="str">
        <f t="shared" si="18"/>
        <v>TinLiuzhhou China Tin</v>
      </c>
      <c r="K486" s="61" t="str">
        <f t="shared" si="19"/>
        <v>TinLiuzhhou China Tin</v>
      </c>
    </row>
    <row r="487" spans="1:11">
      <c r="A487" s="59" t="s">
        <v>146</v>
      </c>
      <c r="B487" s="59" t="s">
        <v>1309</v>
      </c>
      <c r="C487" s="59" t="s">
        <v>1309</v>
      </c>
      <c r="D487" s="59" t="s">
        <v>257</v>
      </c>
      <c r="E487" s="59" t="s">
        <v>1310</v>
      </c>
      <c r="F487" s="59" t="s">
        <v>177</v>
      </c>
      <c r="G487" s="59"/>
      <c r="H487" s="59" t="s">
        <v>1311</v>
      </c>
      <c r="I487" s="59" t="s">
        <v>593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1312</v>
      </c>
      <c r="C488" s="59" t="s">
        <v>1312</v>
      </c>
      <c r="D488" s="59" t="s">
        <v>491</v>
      </c>
      <c r="E488" s="59" t="s">
        <v>1313</v>
      </c>
      <c r="F488" s="59" t="s">
        <v>177</v>
      </c>
      <c r="G488" s="59"/>
      <c r="H488" s="59" t="s">
        <v>493</v>
      </c>
      <c r="I488" s="59" t="s">
        <v>494</v>
      </c>
      <c r="J488" s="61" t="str">
        <f t="shared" si="18"/>
        <v>TinLuna Smelter, Ltd.</v>
      </c>
      <c r="K488" s="61" t="str">
        <f t="shared" si="19"/>
        <v>TinLuna Smelter, Ltd.</v>
      </c>
    </row>
    <row r="489" spans="1:11">
      <c r="A489" s="59" t="s">
        <v>146</v>
      </c>
      <c r="B489" s="59" t="s">
        <v>1314</v>
      </c>
      <c r="C489" s="59" t="s">
        <v>1314</v>
      </c>
      <c r="D489" s="59" t="s">
        <v>257</v>
      </c>
      <c r="E489" s="59" t="s">
        <v>1315</v>
      </c>
      <c r="F489" s="59" t="s">
        <v>177</v>
      </c>
      <c r="G489" s="59"/>
      <c r="H489" s="59" t="s">
        <v>1316</v>
      </c>
      <c r="I489" s="59" t="s">
        <v>260</v>
      </c>
      <c r="J489" s="61" t="str">
        <f t="shared" si="18"/>
        <v>TinMa'anshan Weitai Tin Co., Ltd.</v>
      </c>
      <c r="K489" s="61" t="str">
        <f t="shared" si="19"/>
        <v>TinMa'anshan Weitai Tin Co., Ltd.</v>
      </c>
    </row>
    <row r="490" spans="1:11">
      <c r="A490" s="59" t="s">
        <v>146</v>
      </c>
      <c r="B490" s="59" t="s">
        <v>1317</v>
      </c>
      <c r="C490" s="59" t="s">
        <v>1317</v>
      </c>
      <c r="D490" s="59" t="s">
        <v>250</v>
      </c>
      <c r="E490" s="59" t="s">
        <v>1318</v>
      </c>
      <c r="F490" s="59" t="s">
        <v>177</v>
      </c>
      <c r="G490" s="59"/>
      <c r="H490" s="59" t="s">
        <v>1025</v>
      </c>
      <c r="I490" s="59" t="s">
        <v>253</v>
      </c>
      <c r="J490" s="61" t="str">
        <f t="shared" si="18"/>
        <v>TinMagnu's Minerais Metais e Ligas Ltda.</v>
      </c>
      <c r="K490" s="61" t="str">
        <f t="shared" si="19"/>
        <v>TinMagnu's Minerais Metais e Ligas Ltda.</v>
      </c>
    </row>
    <row r="491" spans="1:11">
      <c r="A491" s="59" t="s">
        <v>146</v>
      </c>
      <c r="B491" s="59" t="s">
        <v>1319</v>
      </c>
      <c r="C491" s="59" t="s">
        <v>1319</v>
      </c>
      <c r="D491" s="59" t="s">
        <v>752</v>
      </c>
      <c r="E491" s="59" t="s">
        <v>1320</v>
      </c>
      <c r="F491" s="59" t="s">
        <v>177</v>
      </c>
      <c r="G491" s="59"/>
      <c r="H491" s="59" t="s">
        <v>1321</v>
      </c>
      <c r="I491" s="59" t="s">
        <v>1322</v>
      </c>
      <c r="J491" s="61" t="str">
        <f t="shared" si="18"/>
        <v>TinMalaysia Smelting Corporation Berhad (Port Klang)</v>
      </c>
      <c r="K491" s="61" t="str">
        <f t="shared" si="19"/>
        <v>TinMalaysia Smelting Corporation Berhad (Port Klang)</v>
      </c>
    </row>
    <row r="492" spans="1:11">
      <c r="A492" s="59" t="s">
        <v>146</v>
      </c>
      <c r="B492" s="59" t="s">
        <v>1323</v>
      </c>
      <c r="C492" s="59" t="s">
        <v>1323</v>
      </c>
      <c r="D492" s="59" t="s">
        <v>250</v>
      </c>
      <c r="E492" s="59" t="s">
        <v>1324</v>
      </c>
      <c r="F492" s="59" t="s">
        <v>177</v>
      </c>
      <c r="G492" s="59"/>
      <c r="H492" s="59" t="s">
        <v>1250</v>
      </c>
      <c r="I492" s="59" t="s">
        <v>1251</v>
      </c>
      <c r="J492" s="61" t="str">
        <f t="shared" si="18"/>
        <v>TinMelt Metais e Ligas S.A.</v>
      </c>
      <c r="K492" s="61" t="str">
        <f t="shared" si="19"/>
        <v>TinMelt Metais e Ligas S.A.</v>
      </c>
    </row>
    <row r="493" spans="1:11">
      <c r="A493" s="59" t="s">
        <v>146</v>
      </c>
      <c r="B493" s="59" t="s">
        <v>1325</v>
      </c>
      <c r="C493" s="59" t="s">
        <v>1293</v>
      </c>
      <c r="D493" s="59" t="s">
        <v>822</v>
      </c>
      <c r="E493" s="59" t="s">
        <v>1294</v>
      </c>
      <c r="F493" s="59" t="s">
        <v>177</v>
      </c>
      <c r="G493" s="59"/>
      <c r="H493" s="59" t="s">
        <v>1295</v>
      </c>
      <c r="I493" s="59" t="s">
        <v>1214</v>
      </c>
      <c r="J493" s="61" t="str">
        <f t="shared" si="18"/>
        <v>TinMentok Smelter</v>
      </c>
      <c r="K493" s="61" t="str">
        <f t="shared" si="19"/>
        <v>TinMentok Smelter</v>
      </c>
    </row>
    <row r="494" spans="1:11">
      <c r="A494" s="59" t="s">
        <v>146</v>
      </c>
      <c r="B494" s="59" t="s">
        <v>1326</v>
      </c>
      <c r="C494" s="59" t="s">
        <v>1187</v>
      </c>
      <c r="D494" s="59" t="s">
        <v>257</v>
      </c>
      <c r="E494" s="59" t="s">
        <v>154</v>
      </c>
      <c r="F494" s="59" t="s">
        <v>177</v>
      </c>
      <c r="G494" s="59"/>
      <c r="H494" s="59" t="s">
        <v>1188</v>
      </c>
      <c r="I494" s="59" t="s">
        <v>1189</v>
      </c>
      <c r="J494" s="61" t="str">
        <f t="shared" si="18"/>
        <v>TinMetallic Materials Branch of Guangxi China Tin Group Co.,Ltd.</v>
      </c>
      <c r="K494" s="61" t="str">
        <f t="shared" si="19"/>
        <v>TinMetallic Materials Branch of Guangxi China Tin Group Co.,Ltd.</v>
      </c>
    </row>
    <row r="495" spans="1:11">
      <c r="A495" s="59" t="s">
        <v>146</v>
      </c>
      <c r="B495" s="59" t="s">
        <v>1327</v>
      </c>
      <c r="C495" s="59" t="s">
        <v>1327</v>
      </c>
      <c r="D495" s="59" t="s">
        <v>186</v>
      </c>
      <c r="E495" s="59" t="s">
        <v>1328</v>
      </c>
      <c r="F495" s="59" t="s">
        <v>177</v>
      </c>
      <c r="G495" s="59"/>
      <c r="H495" s="59" t="s">
        <v>1329</v>
      </c>
      <c r="I495" s="59" t="s">
        <v>236</v>
      </c>
      <c r="J495" s="61" t="str">
        <f t="shared" si="18"/>
        <v>TinMetallic Resources, Inc.</v>
      </c>
      <c r="K495" s="61" t="str">
        <f t="shared" si="19"/>
        <v>TinMetallic Resources, Inc.</v>
      </c>
    </row>
    <row r="496" spans="1:11">
      <c r="A496" s="59" t="s">
        <v>146</v>
      </c>
      <c r="B496" s="59" t="s">
        <v>1330</v>
      </c>
      <c r="C496" s="59" t="s">
        <v>1168</v>
      </c>
      <c r="D496" s="59" t="s">
        <v>705</v>
      </c>
      <c r="E496" s="59" t="s">
        <v>1169</v>
      </c>
      <c r="F496" s="59" t="s">
        <v>177</v>
      </c>
      <c r="G496" s="59"/>
      <c r="H496" s="59" t="s">
        <v>1170</v>
      </c>
      <c r="I496" s="59" t="s">
        <v>708</v>
      </c>
      <c r="J496" s="61" t="str">
        <f t="shared" si="18"/>
        <v>TinMetallo Belgium N.V.</v>
      </c>
      <c r="K496" s="61" t="str">
        <f t="shared" si="19"/>
        <v>TinMetallo Belgium N.V.</v>
      </c>
    </row>
    <row r="497" spans="1:11">
      <c r="A497" s="59" t="s">
        <v>146</v>
      </c>
      <c r="B497" s="59" t="s">
        <v>1331</v>
      </c>
      <c r="C497" s="59" t="s">
        <v>1172</v>
      </c>
      <c r="D497" s="59" t="s">
        <v>288</v>
      </c>
      <c r="E497" s="59" t="s">
        <v>1173</v>
      </c>
      <c r="F497" s="59" t="s">
        <v>177</v>
      </c>
      <c r="G497" s="59"/>
      <c r="H497" s="59" t="s">
        <v>1174</v>
      </c>
      <c r="I497" s="59" t="s">
        <v>1175</v>
      </c>
      <c r="J497" s="61" t="str">
        <f t="shared" si="18"/>
        <v>TinMetallo Spain S.L.U.</v>
      </c>
      <c r="K497" s="61" t="str">
        <f t="shared" si="19"/>
        <v>TinMetallo Spain S.L.U.</v>
      </c>
    </row>
    <row r="498" spans="1:11">
      <c r="A498" s="59" t="s">
        <v>146</v>
      </c>
      <c r="B498" s="59" t="s">
        <v>1102</v>
      </c>
      <c r="C498" s="59" t="s">
        <v>1102</v>
      </c>
      <c r="D498" s="59" t="s">
        <v>250</v>
      </c>
      <c r="E498" s="59" t="s">
        <v>1332</v>
      </c>
      <c r="F498" s="59" t="s">
        <v>177</v>
      </c>
      <c r="G498" s="59"/>
      <c r="H498" s="59" t="s">
        <v>1333</v>
      </c>
      <c r="I498" s="59" t="s">
        <v>677</v>
      </c>
      <c r="J498" s="61" t="str">
        <f t="shared" si="18"/>
        <v>TinMineracao Taboca S.A.</v>
      </c>
      <c r="K498" s="61" t="str">
        <f t="shared" si="19"/>
        <v>TinMineracao Taboca S.A.</v>
      </c>
    </row>
    <row r="499" spans="1:11">
      <c r="A499" s="59" t="s">
        <v>146</v>
      </c>
      <c r="B499" s="59" t="s">
        <v>1105</v>
      </c>
      <c r="C499" s="59" t="s">
        <v>1102</v>
      </c>
      <c r="D499" s="59" t="s">
        <v>250</v>
      </c>
      <c r="E499" s="59" t="s">
        <v>1332</v>
      </c>
      <c r="F499" s="59" t="s">
        <v>177</v>
      </c>
      <c r="G499" s="59"/>
      <c r="H499" s="59" t="s">
        <v>1333</v>
      </c>
      <c r="I499" s="59" t="s">
        <v>677</v>
      </c>
      <c r="J499" s="61" t="str">
        <f t="shared" si="18"/>
        <v>TinMineração Taboca S.A.</v>
      </c>
      <c r="K499" s="61" t="str">
        <f t="shared" si="19"/>
        <v>TinMineração Taboca S.A.</v>
      </c>
    </row>
    <row r="500" spans="1:11">
      <c r="A500" s="59" t="s">
        <v>146</v>
      </c>
      <c r="B500" s="59" t="s">
        <v>1106</v>
      </c>
      <c r="C500" s="59" t="s">
        <v>1102</v>
      </c>
      <c r="D500" s="59" t="s">
        <v>250</v>
      </c>
      <c r="E500" s="59" t="s">
        <v>1332</v>
      </c>
      <c r="F500" s="59" t="s">
        <v>177</v>
      </c>
      <c r="G500" s="59"/>
      <c r="H500" s="59" t="s">
        <v>1333</v>
      </c>
      <c r="I500" s="59" t="s">
        <v>677</v>
      </c>
      <c r="J500" s="61" t="str">
        <f t="shared" si="18"/>
        <v>TinMineracao Taboca SA</v>
      </c>
      <c r="K500" s="61" t="str">
        <f t="shared" si="19"/>
        <v>TinMineracao Taboca SA</v>
      </c>
    </row>
    <row r="501" spans="1:11">
      <c r="A501" s="59" t="s">
        <v>146</v>
      </c>
      <c r="B501" s="59" t="s">
        <v>1334</v>
      </c>
      <c r="C501" s="59" t="s">
        <v>1335</v>
      </c>
      <c r="D501" s="59" t="s">
        <v>1164</v>
      </c>
      <c r="E501" s="59" t="s">
        <v>1336</v>
      </c>
      <c r="F501" s="59" t="s">
        <v>177</v>
      </c>
      <c r="G501" s="59"/>
      <c r="H501" s="59" t="s">
        <v>1337</v>
      </c>
      <c r="I501" s="59" t="s">
        <v>1338</v>
      </c>
      <c r="J501" s="61" t="str">
        <f t="shared" si="18"/>
        <v>TinMining and processing tin-tungsten ore Giang Son - VQB Co., Ltd.</v>
      </c>
      <c r="K501" s="61" t="str">
        <f t="shared" si="19"/>
        <v>TinMining and processing tin-tungsten ore Giang Son - VQB Co., Ltd.</v>
      </c>
    </row>
    <row r="502" spans="1:11">
      <c r="A502" s="59" t="s">
        <v>146</v>
      </c>
      <c r="B502" s="59" t="s">
        <v>1339</v>
      </c>
      <c r="C502" s="59" t="s">
        <v>1339</v>
      </c>
      <c r="D502" s="59" t="s">
        <v>1340</v>
      </c>
      <c r="E502" s="59" t="s">
        <v>1341</v>
      </c>
      <c r="F502" s="59" t="s">
        <v>177</v>
      </c>
      <c r="G502" s="59"/>
      <c r="H502" s="59" t="s">
        <v>1342</v>
      </c>
      <c r="I502" s="59" t="s">
        <v>1343</v>
      </c>
      <c r="J502" s="61" t="str">
        <f t="shared" si="18"/>
        <v>TinMining Minerals Resources SARL</v>
      </c>
      <c r="K502" s="61" t="str">
        <f t="shared" si="19"/>
        <v>TinMining Minerals Resources SARL</v>
      </c>
    </row>
    <row r="503" spans="1:11">
      <c r="A503" s="59" t="s">
        <v>146</v>
      </c>
      <c r="B503" s="59" t="s">
        <v>1263</v>
      </c>
      <c r="C503" s="59" t="s">
        <v>1263</v>
      </c>
      <c r="D503" s="59" t="s">
        <v>264</v>
      </c>
      <c r="E503" s="59" t="s">
        <v>1264</v>
      </c>
      <c r="F503" s="59" t="s">
        <v>177</v>
      </c>
      <c r="G503" s="59"/>
      <c r="H503" s="59" t="s">
        <v>1265</v>
      </c>
      <c r="I503" s="59" t="s">
        <v>1266</v>
      </c>
      <c r="J503" s="61" t="str">
        <f t="shared" si="18"/>
        <v>TinMinsur</v>
      </c>
      <c r="K503" s="61" t="str">
        <f t="shared" si="19"/>
        <v>TinMinsur</v>
      </c>
    </row>
    <row r="504" spans="1:11">
      <c r="A504" s="59" t="s">
        <v>146</v>
      </c>
      <c r="B504" s="59" t="s">
        <v>736</v>
      </c>
      <c r="C504" s="59" t="s">
        <v>736</v>
      </c>
      <c r="D504" s="59" t="s">
        <v>213</v>
      </c>
      <c r="E504" s="59" t="s">
        <v>1289</v>
      </c>
      <c r="F504" s="59" t="s">
        <v>177</v>
      </c>
      <c r="G504" s="59"/>
      <c r="H504" s="59" t="s">
        <v>1290</v>
      </c>
      <c r="I504" s="59" t="s">
        <v>1291</v>
      </c>
      <c r="J504" s="61" t="str">
        <f t="shared" si="18"/>
        <v>TinMitsubishi Materials Corporation</v>
      </c>
      <c r="K504" s="61" t="str">
        <f t="shared" si="19"/>
        <v>TinMitsubishi Materials Corporation</v>
      </c>
    </row>
    <row r="505" spans="1:11">
      <c r="A505" s="59" t="s">
        <v>146</v>
      </c>
      <c r="B505" s="59" t="s">
        <v>751</v>
      </c>
      <c r="C505" s="59" t="s">
        <v>751</v>
      </c>
      <c r="D505" s="59" t="s">
        <v>752</v>
      </c>
      <c r="E505" s="59" t="s">
        <v>1344</v>
      </c>
      <c r="F505" s="59" t="s">
        <v>177</v>
      </c>
      <c r="G505" s="59"/>
      <c r="H505" s="59" t="s">
        <v>754</v>
      </c>
      <c r="I505" s="59" t="s">
        <v>755</v>
      </c>
      <c r="J505" s="61" t="str">
        <f t="shared" si="18"/>
        <v>TinModeltech Sdn Bhd</v>
      </c>
      <c r="K505" s="61" t="str">
        <f t="shared" si="19"/>
        <v>TinModeltech Sdn Bhd</v>
      </c>
    </row>
    <row r="506" spans="1:11">
      <c r="A506" s="59" t="s">
        <v>146</v>
      </c>
      <c r="B506" s="59" t="s">
        <v>1345</v>
      </c>
      <c r="C506" s="59" t="s">
        <v>1297</v>
      </c>
      <c r="D506" s="59" t="s">
        <v>257</v>
      </c>
      <c r="E506" s="59" t="s">
        <v>1298</v>
      </c>
      <c r="F506" s="59" t="s">
        <v>177</v>
      </c>
      <c r="G506" s="59"/>
      <c r="H506" s="59" t="s">
        <v>1299</v>
      </c>
      <c r="I506" s="59" t="s">
        <v>593</v>
      </c>
      <c r="J506" s="61" t="str">
        <f t="shared" si="18"/>
        <v>TinNankang Nanshan Tin Manufactory Co., Ltd.</v>
      </c>
      <c r="K506" s="61" t="str">
        <f t="shared" si="19"/>
        <v>TinNankang Nanshan Tin Manufactory Co., Ltd.</v>
      </c>
    </row>
    <row r="507" spans="1:11">
      <c r="A507" s="59" t="s">
        <v>146</v>
      </c>
      <c r="B507" s="59" t="s">
        <v>1346</v>
      </c>
      <c r="C507" s="59" t="s">
        <v>1297</v>
      </c>
      <c r="D507" s="59" t="s">
        <v>257</v>
      </c>
      <c r="E507" s="59" t="s">
        <v>1298</v>
      </c>
      <c r="F507" s="59" t="s">
        <v>177</v>
      </c>
      <c r="G507" s="59"/>
      <c r="H507" s="59" t="s">
        <v>1299</v>
      </c>
      <c r="I507" s="59" t="s">
        <v>593</v>
      </c>
      <c r="J507" s="61" t="str">
        <f t="shared" si="18"/>
        <v>TinNanshan Tin Co. Ltd.</v>
      </c>
      <c r="K507" s="61" t="str">
        <f t="shared" si="19"/>
        <v>TinNanshan Tin Co. Ltd.</v>
      </c>
    </row>
    <row r="508" spans="1:11">
      <c r="A508" s="59" t="s">
        <v>146</v>
      </c>
      <c r="B508" s="59" t="s">
        <v>1347</v>
      </c>
      <c r="C508" s="59" t="s">
        <v>1347</v>
      </c>
      <c r="D508" s="59" t="s">
        <v>1164</v>
      </c>
      <c r="E508" s="59" t="s">
        <v>1348</v>
      </c>
      <c r="F508" s="59" t="s">
        <v>177</v>
      </c>
      <c r="G508" s="59"/>
      <c r="H508" s="59" t="s">
        <v>1166</v>
      </c>
      <c r="I508" s="59" t="s">
        <v>1167</v>
      </c>
      <c r="J508" s="61" t="str">
        <f t="shared" si="18"/>
        <v>TinNghe Tinh Non-Ferrous Metals Joint Stock Company</v>
      </c>
      <c r="K508" s="61" t="str">
        <f t="shared" si="19"/>
        <v>TinNghe Tinh Non-Ferrous Metals Joint Stock Company</v>
      </c>
    </row>
    <row r="509" spans="1:11">
      <c r="A509" s="59" t="s">
        <v>146</v>
      </c>
      <c r="B509" s="59" t="s">
        <v>1349</v>
      </c>
      <c r="C509" s="59" t="s">
        <v>1350</v>
      </c>
      <c r="D509" s="59" t="s">
        <v>439</v>
      </c>
      <c r="E509" s="59" t="s">
        <v>1351</v>
      </c>
      <c r="F509" s="59" t="s">
        <v>177</v>
      </c>
      <c r="G509" s="59"/>
      <c r="H509" s="59" t="s">
        <v>478</v>
      </c>
      <c r="I509" s="59" t="s">
        <v>479</v>
      </c>
      <c r="J509" s="61" t="str">
        <f t="shared" si="18"/>
        <v>TinNovosibirsk Processing Plant Ltd.</v>
      </c>
      <c r="K509" s="61" t="str">
        <f t="shared" si="19"/>
        <v>TinNovosibirsk Processing Plant Ltd.</v>
      </c>
    </row>
    <row r="510" spans="1:11">
      <c r="A510" s="59" t="s">
        <v>146</v>
      </c>
      <c r="B510" s="59" t="s">
        <v>1350</v>
      </c>
      <c r="C510" s="59" t="s">
        <v>1350</v>
      </c>
      <c r="D510" s="59" t="s">
        <v>439</v>
      </c>
      <c r="E510" s="59" t="s">
        <v>1351</v>
      </c>
      <c r="F510" s="59" t="s">
        <v>177</v>
      </c>
      <c r="G510" s="59"/>
      <c r="H510" s="59" t="s">
        <v>478</v>
      </c>
      <c r="I510" s="59" t="s">
        <v>479</v>
      </c>
      <c r="J510" s="61" t="str">
        <f t="shared" si="18"/>
        <v>TinNovosibirsk Tin Combine</v>
      </c>
      <c r="K510" s="61" t="str">
        <f t="shared" si="19"/>
        <v>TinNovosibirsk Tin Combine</v>
      </c>
    </row>
    <row r="511" spans="1:11">
      <c r="A511" s="59" t="s">
        <v>146</v>
      </c>
      <c r="B511" s="59" t="s">
        <v>1352</v>
      </c>
      <c r="C511" s="59" t="s">
        <v>1352</v>
      </c>
      <c r="D511" s="59" t="s">
        <v>978</v>
      </c>
      <c r="E511" s="59" t="s">
        <v>1353</v>
      </c>
      <c r="F511" s="59" t="s">
        <v>177</v>
      </c>
      <c r="G511" s="59"/>
      <c r="H511" s="59" t="s">
        <v>1354</v>
      </c>
      <c r="I511" s="59" t="s">
        <v>1355</v>
      </c>
      <c r="J511" s="61" t="str">
        <f t="shared" si="18"/>
        <v>TinO.M. Manufacturing (Thailand) Co., Ltd.</v>
      </c>
      <c r="K511" s="61" t="str">
        <f t="shared" si="19"/>
        <v>TinO.M. Manufacturing (Thailand) Co., Ltd.</v>
      </c>
    </row>
    <row r="512" spans="1:11">
      <c r="A512" s="59" t="s">
        <v>146</v>
      </c>
      <c r="B512" s="59" t="s">
        <v>1356</v>
      </c>
      <c r="C512" s="59" t="s">
        <v>1356</v>
      </c>
      <c r="D512" s="59" t="s">
        <v>323</v>
      </c>
      <c r="E512" s="59" t="s">
        <v>1357</v>
      </c>
      <c r="F512" s="59" t="s">
        <v>177</v>
      </c>
      <c r="G512" s="59"/>
      <c r="H512" s="59" t="s">
        <v>1358</v>
      </c>
      <c r="I512" s="59" t="s">
        <v>1359</v>
      </c>
      <c r="J512" s="61" t="str">
        <f t="shared" si="18"/>
        <v>TinO.M. Manufacturing Philippines, Inc.</v>
      </c>
      <c r="K512" s="61" t="str">
        <f t="shared" si="19"/>
        <v>TinO.M. Manufacturing Philippines, Inc.</v>
      </c>
    </row>
    <row r="513" spans="1:11">
      <c r="A513" s="59" t="s">
        <v>146</v>
      </c>
      <c r="B513" s="59" t="s">
        <v>1360</v>
      </c>
      <c r="C513" s="59" t="s">
        <v>1361</v>
      </c>
      <c r="D513" s="59" t="s">
        <v>1242</v>
      </c>
      <c r="E513" s="59" t="s">
        <v>1362</v>
      </c>
      <c r="F513" s="59" t="s">
        <v>177</v>
      </c>
      <c r="G513" s="59"/>
      <c r="H513" s="59" t="s">
        <v>1244</v>
      </c>
      <c r="I513" s="59" t="s">
        <v>1244</v>
      </c>
      <c r="J513" s="61" t="str">
        <f t="shared" si="18"/>
        <v>TinOMSA</v>
      </c>
      <c r="K513" s="61" t="str">
        <f t="shared" si="19"/>
        <v>TinOMSA</v>
      </c>
    </row>
    <row r="514" spans="1:11">
      <c r="A514" s="59" t="s">
        <v>146</v>
      </c>
      <c r="B514" s="59" t="s">
        <v>1361</v>
      </c>
      <c r="C514" s="59" t="s">
        <v>1361</v>
      </c>
      <c r="D514" s="59" t="s">
        <v>1242</v>
      </c>
      <c r="E514" s="59" t="s">
        <v>1362</v>
      </c>
      <c r="F514" s="59" t="s">
        <v>177</v>
      </c>
      <c r="G514" s="59"/>
      <c r="H514" s="59" t="s">
        <v>1244</v>
      </c>
      <c r="I514" s="59" t="s">
        <v>1244</v>
      </c>
      <c r="J514" s="61" t="str">
        <f t="shared" si="18"/>
        <v>TinOperaciones Metalurgicas S.A.</v>
      </c>
      <c r="K514" s="61" t="str">
        <f t="shared" si="19"/>
        <v>TinOperaciones Metalurgicas S.A.</v>
      </c>
    </row>
    <row r="515" spans="1:11">
      <c r="A515" s="59" t="s">
        <v>146</v>
      </c>
      <c r="B515" s="59" t="s">
        <v>1363</v>
      </c>
      <c r="C515" s="59" t="s">
        <v>1361</v>
      </c>
      <c r="D515" s="59" t="s">
        <v>1242</v>
      </c>
      <c r="E515" s="59" t="s">
        <v>1362</v>
      </c>
      <c r="F515" s="59" t="s">
        <v>177</v>
      </c>
      <c r="G515" s="59"/>
      <c r="H515" s="59" t="s">
        <v>1244</v>
      </c>
      <c r="I515" s="59" t="s">
        <v>1244</v>
      </c>
      <c r="J515" s="61" t="str">
        <f t="shared" si="18"/>
        <v>TinOperaciones Metalúrgicas S.A.</v>
      </c>
      <c r="K515" s="61" t="str">
        <f t="shared" si="19"/>
        <v>TinOperaciones Metalúrgicas S.A.</v>
      </c>
    </row>
    <row r="516" spans="1:11">
      <c r="A516" s="59" t="s">
        <v>146</v>
      </c>
      <c r="B516" s="59" t="s">
        <v>1364</v>
      </c>
      <c r="C516" s="59" t="s">
        <v>1364</v>
      </c>
      <c r="D516" s="59" t="s">
        <v>186</v>
      </c>
      <c r="E516" s="59" t="s">
        <v>1365</v>
      </c>
      <c r="F516" s="59" t="s">
        <v>177</v>
      </c>
      <c r="G516" s="59"/>
      <c r="H516" s="59" t="s">
        <v>1366</v>
      </c>
      <c r="I516" s="59" t="s">
        <v>1367</v>
      </c>
      <c r="J516" s="61" t="str">
        <f t="shared" ref="J516:J579" si="20">A516&amp;B516</f>
        <v>TinP Kay Metal, Inc</v>
      </c>
      <c r="K516" s="61" t="str">
        <f t="shared" ref="K516:K579" si="21">A516&amp;B516</f>
        <v>TinP Kay Metal, Inc</v>
      </c>
    </row>
    <row r="517" spans="1:11">
      <c r="A517" s="59" t="s">
        <v>146</v>
      </c>
      <c r="B517" s="59" t="s">
        <v>1368</v>
      </c>
      <c r="C517" s="59" t="s">
        <v>1368</v>
      </c>
      <c r="D517" s="59" t="s">
        <v>292</v>
      </c>
      <c r="E517" s="59" t="s">
        <v>1369</v>
      </c>
      <c r="F517" s="59" t="s">
        <v>177</v>
      </c>
      <c r="G517" s="59"/>
      <c r="H517" s="59" t="s">
        <v>1370</v>
      </c>
      <c r="I517" s="59" t="s">
        <v>1371</v>
      </c>
      <c r="J517" s="61" t="str">
        <f t="shared" si="20"/>
        <v>TinPrecious Minerals and Smelting Limited</v>
      </c>
      <c r="K517" s="61" t="str">
        <f t="shared" si="21"/>
        <v>TinPrecious Minerals and Smelting Limited</v>
      </c>
    </row>
    <row r="518" spans="1:11">
      <c r="A518" s="59" t="s">
        <v>146</v>
      </c>
      <c r="B518" s="59" t="s">
        <v>1216</v>
      </c>
      <c r="C518" s="59" t="s">
        <v>1216</v>
      </c>
      <c r="D518" s="59" t="s">
        <v>822</v>
      </c>
      <c r="E518" s="59" t="s">
        <v>1217</v>
      </c>
      <c r="F518" s="59" t="s">
        <v>177</v>
      </c>
      <c r="G518" s="59"/>
      <c r="H518" s="59" t="s">
        <v>1218</v>
      </c>
      <c r="I518" s="59" t="s">
        <v>1214</v>
      </c>
      <c r="J518" s="61" t="str">
        <f t="shared" si="20"/>
        <v>TinPT Aries Kencana Sejahtera</v>
      </c>
      <c r="K518" s="61" t="str">
        <f t="shared" si="21"/>
        <v>TinPT Aries Kencana Sejahtera</v>
      </c>
    </row>
    <row r="519" spans="1:11">
      <c r="A519" s="59" t="s">
        <v>146</v>
      </c>
      <c r="B519" s="59" t="s">
        <v>1372</v>
      </c>
      <c r="C519" s="59" t="s">
        <v>1372</v>
      </c>
      <c r="D519" s="59" t="s">
        <v>822</v>
      </c>
      <c r="E519" s="59" t="s">
        <v>1373</v>
      </c>
      <c r="F519" s="59" t="s">
        <v>177</v>
      </c>
      <c r="G519" s="59"/>
      <c r="H519" s="59" t="s">
        <v>1213</v>
      </c>
      <c r="I519" s="59" t="s">
        <v>1214</v>
      </c>
      <c r="J519" s="61" t="str">
        <f t="shared" si="20"/>
        <v>TinPT Artha Cipta Langgeng</v>
      </c>
      <c r="K519" s="61" t="str">
        <f t="shared" si="21"/>
        <v>TinPT Artha Cipta Langgeng</v>
      </c>
    </row>
    <row r="520" spans="1:11">
      <c r="A520" s="59" t="s">
        <v>146</v>
      </c>
      <c r="B520" s="59" t="s">
        <v>1374</v>
      </c>
      <c r="C520" s="59" t="s">
        <v>1374</v>
      </c>
      <c r="D520" s="59" t="s">
        <v>822</v>
      </c>
      <c r="E520" s="59" t="s">
        <v>1375</v>
      </c>
      <c r="F520" s="59" t="s">
        <v>177</v>
      </c>
      <c r="G520" s="59"/>
      <c r="H520" s="59" t="s">
        <v>1213</v>
      </c>
      <c r="I520" s="59" t="s">
        <v>1214</v>
      </c>
      <c r="J520" s="61" t="str">
        <f t="shared" si="20"/>
        <v>TinPT ATD Makmur Mandiri Jaya</v>
      </c>
      <c r="K520" s="61" t="str">
        <f t="shared" si="21"/>
        <v>TinPT ATD Makmur Mandiri Jaya</v>
      </c>
    </row>
    <row r="521" spans="1:11">
      <c r="A521" s="59" t="s">
        <v>146</v>
      </c>
      <c r="B521" s="59" t="s">
        <v>1376</v>
      </c>
      <c r="C521" s="59" t="s">
        <v>1376</v>
      </c>
      <c r="D521" s="59" t="s">
        <v>822</v>
      </c>
      <c r="E521" s="59" t="s">
        <v>1377</v>
      </c>
      <c r="F521" s="59" t="s">
        <v>177</v>
      </c>
      <c r="G521" s="59"/>
      <c r="H521" s="59" t="s">
        <v>1378</v>
      </c>
      <c r="I521" s="59" t="s">
        <v>1214</v>
      </c>
      <c r="J521" s="61" t="str">
        <f t="shared" si="20"/>
        <v>TinPT Bangka Prima Tin</v>
      </c>
      <c r="K521" s="61" t="str">
        <f t="shared" si="21"/>
        <v>TinPT Bangka Prima Tin</v>
      </c>
    </row>
    <row r="522" spans="1:11">
      <c r="A522" s="59" t="s">
        <v>146</v>
      </c>
      <c r="B522" s="59" t="s">
        <v>1379</v>
      </c>
      <c r="C522" s="59" t="s">
        <v>1379</v>
      </c>
      <c r="D522" s="59" t="s">
        <v>822</v>
      </c>
      <c r="E522" s="59" t="s">
        <v>1380</v>
      </c>
      <c r="F522" s="59" t="s">
        <v>177</v>
      </c>
      <c r="G522" s="59"/>
      <c r="H522" s="59" t="s">
        <v>1381</v>
      </c>
      <c r="I522" s="59" t="s">
        <v>1382</v>
      </c>
      <c r="J522" s="61" t="str">
        <f t="shared" si="20"/>
        <v>TinPT Cipta Persada Mulia</v>
      </c>
      <c r="K522" s="61" t="str">
        <f t="shared" si="21"/>
        <v>TinPT Cipta Persada Mulia</v>
      </c>
    </row>
    <row r="523" spans="1:11">
      <c r="A523" s="59" t="s">
        <v>146</v>
      </c>
      <c r="B523" s="59" t="s">
        <v>1383</v>
      </c>
      <c r="C523" s="59" t="s">
        <v>1383</v>
      </c>
      <c r="D523" s="59" t="s">
        <v>822</v>
      </c>
      <c r="E523" s="59" t="s">
        <v>1384</v>
      </c>
      <c r="F523" s="59" t="s">
        <v>177</v>
      </c>
      <c r="G523" s="59"/>
      <c r="H523" s="59" t="s">
        <v>1213</v>
      </c>
      <c r="I523" s="59" t="s">
        <v>1214</v>
      </c>
      <c r="J523" s="61" t="str">
        <f t="shared" si="20"/>
        <v>TinPT Masbro Alam Stania</v>
      </c>
      <c r="K523" s="61" t="str">
        <f t="shared" si="21"/>
        <v>TinPT Masbro Alam Stania</v>
      </c>
    </row>
    <row r="524" spans="1:11">
      <c r="A524" s="59" t="s">
        <v>146</v>
      </c>
      <c r="B524" s="59" t="s">
        <v>1385</v>
      </c>
      <c r="C524" s="59" t="s">
        <v>1385</v>
      </c>
      <c r="D524" s="59" t="s">
        <v>822</v>
      </c>
      <c r="E524" s="59" t="s">
        <v>1386</v>
      </c>
      <c r="F524" s="59" t="s">
        <v>177</v>
      </c>
      <c r="G524" s="59"/>
      <c r="H524" s="59" t="s">
        <v>1213</v>
      </c>
      <c r="I524" s="59" t="s">
        <v>1214</v>
      </c>
      <c r="J524" s="61" t="str">
        <f t="shared" si="20"/>
        <v>TinPT Mitra Stania Prima</v>
      </c>
      <c r="K524" s="61" t="str">
        <f t="shared" si="21"/>
        <v>TinPT Mitra Stania Prima</v>
      </c>
    </row>
    <row r="525" spans="1:11">
      <c r="A525" s="59" t="s">
        <v>146</v>
      </c>
      <c r="B525" s="59" t="s">
        <v>1387</v>
      </c>
      <c r="C525" s="59" t="s">
        <v>1387</v>
      </c>
      <c r="D525" s="59" t="s">
        <v>822</v>
      </c>
      <c r="E525" s="59" t="s">
        <v>1388</v>
      </c>
      <c r="F525" s="59" t="s">
        <v>177</v>
      </c>
      <c r="G525" s="59"/>
      <c r="H525" s="59" t="s">
        <v>1389</v>
      </c>
      <c r="I525" s="59" t="s">
        <v>1214</v>
      </c>
      <c r="J525" s="61" t="str">
        <f t="shared" si="20"/>
        <v>TinPT Mitra Sukses Globalindo</v>
      </c>
      <c r="K525" s="61" t="str">
        <f t="shared" si="21"/>
        <v>TinPT Mitra Sukses Globalindo</v>
      </c>
    </row>
    <row r="526" spans="1:11">
      <c r="A526" s="59" t="s">
        <v>146</v>
      </c>
      <c r="B526" s="59" t="s">
        <v>1220</v>
      </c>
      <c r="C526" s="59" t="s">
        <v>1220</v>
      </c>
      <c r="D526" s="59" t="s">
        <v>822</v>
      </c>
      <c r="E526" s="59" t="s">
        <v>1221</v>
      </c>
      <c r="F526" s="59" t="s">
        <v>177</v>
      </c>
      <c r="G526" s="59"/>
      <c r="H526" s="59" t="s">
        <v>1222</v>
      </c>
      <c r="I526" s="59" t="s">
        <v>1214</v>
      </c>
      <c r="J526" s="61" t="str">
        <f t="shared" si="20"/>
        <v>TinPT Premium Tin Indonesia</v>
      </c>
      <c r="K526" s="61" t="str">
        <f t="shared" si="21"/>
        <v>TinPT Premium Tin Indonesia</v>
      </c>
    </row>
    <row r="527" spans="1:11">
      <c r="A527" s="59" t="s">
        <v>146</v>
      </c>
      <c r="B527" s="59" t="s">
        <v>1390</v>
      </c>
      <c r="C527" s="59" t="s">
        <v>1390</v>
      </c>
      <c r="D527" s="59" t="s">
        <v>822</v>
      </c>
      <c r="E527" s="59" t="s">
        <v>1391</v>
      </c>
      <c r="F527" s="59" t="s">
        <v>177</v>
      </c>
      <c r="G527" s="59"/>
      <c r="H527" s="59" t="s">
        <v>1226</v>
      </c>
      <c r="I527" s="59" t="s">
        <v>1214</v>
      </c>
      <c r="J527" s="61" t="str">
        <f t="shared" si="20"/>
        <v>TinPT Prima Timah Utama</v>
      </c>
      <c r="K527" s="61" t="str">
        <f t="shared" si="21"/>
        <v>TinPT Prima Timah Utama</v>
      </c>
    </row>
    <row r="528" spans="1:11">
      <c r="A528" s="59" t="s">
        <v>146</v>
      </c>
      <c r="B528" s="59" t="s">
        <v>1392</v>
      </c>
      <c r="C528" s="59" t="s">
        <v>1392</v>
      </c>
      <c r="D528" s="59" t="s">
        <v>822</v>
      </c>
      <c r="E528" s="59" t="s">
        <v>1393</v>
      </c>
      <c r="F528" s="59" t="s">
        <v>177</v>
      </c>
      <c r="G528" s="59"/>
      <c r="H528" s="59" t="s">
        <v>1213</v>
      </c>
      <c r="I528" s="59" t="s">
        <v>1214</v>
      </c>
      <c r="J528" s="61" t="str">
        <f t="shared" si="20"/>
        <v>TinPT Putera Sarana Shakti (PT PSS)</v>
      </c>
      <c r="K528" s="61" t="str">
        <f t="shared" si="21"/>
        <v>TinPT Putera Sarana Shakti (PT PSS)</v>
      </c>
    </row>
    <row r="529" spans="1:11">
      <c r="A529" s="59" t="s">
        <v>146</v>
      </c>
      <c r="B529" s="59" t="s">
        <v>1224</v>
      </c>
      <c r="C529" s="59" t="s">
        <v>1224</v>
      </c>
      <c r="D529" s="59" t="s">
        <v>822</v>
      </c>
      <c r="E529" s="59" t="s">
        <v>1225</v>
      </c>
      <c r="F529" s="59" t="s">
        <v>177</v>
      </c>
      <c r="G529" s="59"/>
      <c r="H529" s="59" t="s">
        <v>1226</v>
      </c>
      <c r="I529" s="59" t="s">
        <v>1214</v>
      </c>
      <c r="J529" s="61" t="str">
        <f t="shared" si="20"/>
        <v>TinPT Rajehan Ariq</v>
      </c>
      <c r="K529" s="61" t="str">
        <f t="shared" si="21"/>
        <v>TinPT Rajehan Ariq</v>
      </c>
    </row>
    <row r="530" spans="1:11">
      <c r="A530" s="59" t="s">
        <v>146</v>
      </c>
      <c r="B530" s="59" t="s">
        <v>1394</v>
      </c>
      <c r="C530" s="59" t="s">
        <v>1304</v>
      </c>
      <c r="D530" s="59" t="s">
        <v>822</v>
      </c>
      <c r="E530" s="59" t="s">
        <v>1305</v>
      </c>
      <c r="F530" s="59" t="s">
        <v>177</v>
      </c>
      <c r="G530" s="59"/>
      <c r="H530" s="59" t="s">
        <v>1306</v>
      </c>
      <c r="I530" s="59" t="s">
        <v>1307</v>
      </c>
      <c r="J530" s="61" t="str">
        <f t="shared" si="20"/>
        <v>TinPT Tambang Timah</v>
      </c>
      <c r="K530" s="61" t="str">
        <f t="shared" si="21"/>
        <v>TinPT Tambang Timah</v>
      </c>
    </row>
    <row r="531" spans="1:11">
      <c r="A531" s="59" t="s">
        <v>146</v>
      </c>
      <c r="B531" s="59" t="s">
        <v>1304</v>
      </c>
      <c r="C531" s="59" t="s">
        <v>1304</v>
      </c>
      <c r="D531" s="59" t="s">
        <v>822</v>
      </c>
      <c r="E531" s="59" t="s">
        <v>1305</v>
      </c>
      <c r="F531" s="59" t="s">
        <v>177</v>
      </c>
      <c r="G531" s="59"/>
      <c r="H531" s="59" t="s">
        <v>1306</v>
      </c>
      <c r="I531" s="59" t="s">
        <v>1307</v>
      </c>
      <c r="J531" s="61" t="str">
        <f t="shared" si="20"/>
        <v>TinPT Timah Tbk Kundur</v>
      </c>
      <c r="K531" s="61" t="str">
        <f t="shared" si="21"/>
        <v>TinPT Timah Tbk Kundur</v>
      </c>
    </row>
    <row r="532" spans="1:11">
      <c r="A532" s="59" t="s">
        <v>146</v>
      </c>
      <c r="B532" s="59" t="s">
        <v>1293</v>
      </c>
      <c r="C532" s="59" t="s">
        <v>1293</v>
      </c>
      <c r="D532" s="59" t="s">
        <v>822</v>
      </c>
      <c r="E532" s="59" t="s">
        <v>1294</v>
      </c>
      <c r="F532" s="59" t="s">
        <v>177</v>
      </c>
      <c r="G532" s="59"/>
      <c r="H532" s="59" t="s">
        <v>1295</v>
      </c>
      <c r="I532" s="59" t="s">
        <v>1214</v>
      </c>
      <c r="J532" s="61" t="str">
        <f t="shared" si="20"/>
        <v>TinPT Timah Tbk Mentok</v>
      </c>
      <c r="K532" s="61" t="str">
        <f t="shared" si="21"/>
        <v>TinPT Timah Tbk Mentok</v>
      </c>
    </row>
    <row r="533" spans="1:11">
      <c r="A533" s="59" t="s">
        <v>146</v>
      </c>
      <c r="B533" s="59" t="s">
        <v>1126</v>
      </c>
      <c r="C533" s="59" t="s">
        <v>1127</v>
      </c>
      <c r="D533" s="59" t="s">
        <v>250</v>
      </c>
      <c r="E533" s="59" t="s">
        <v>1395</v>
      </c>
      <c r="F533" s="59" t="s">
        <v>177</v>
      </c>
      <c r="G533" s="59"/>
      <c r="H533" s="59" t="s">
        <v>1025</v>
      </c>
      <c r="I533" s="59" t="s">
        <v>1129</v>
      </c>
      <c r="J533" s="61" t="str">
        <f t="shared" si="20"/>
        <v>TinResind Ind e Com Ltda.</v>
      </c>
      <c r="K533" s="61" t="str">
        <f t="shared" si="21"/>
        <v>TinResind Ind e Com Ltda.</v>
      </c>
    </row>
    <row r="534" spans="1:11">
      <c r="A534" s="59" t="s">
        <v>146</v>
      </c>
      <c r="B534" s="59" t="s">
        <v>1127</v>
      </c>
      <c r="C534" s="59" t="s">
        <v>1127</v>
      </c>
      <c r="D534" s="59" t="s">
        <v>250</v>
      </c>
      <c r="E534" s="59" t="s">
        <v>1395</v>
      </c>
      <c r="F534" s="59" t="s">
        <v>177</v>
      </c>
      <c r="G534" s="59"/>
      <c r="H534" s="59" t="s">
        <v>1025</v>
      </c>
      <c r="I534" s="59" t="s">
        <v>1129</v>
      </c>
      <c r="J534" s="61" t="str">
        <f t="shared" si="20"/>
        <v>TinResind Industria e Comercio Ltda.</v>
      </c>
      <c r="K534" s="61" t="str">
        <f t="shared" si="21"/>
        <v>TinResind Industria e Comercio Ltda.</v>
      </c>
    </row>
    <row r="535" spans="1:11">
      <c r="A535" s="59" t="s">
        <v>146</v>
      </c>
      <c r="B535" s="59" t="s">
        <v>1130</v>
      </c>
      <c r="C535" s="59" t="s">
        <v>1127</v>
      </c>
      <c r="D535" s="59" t="s">
        <v>250</v>
      </c>
      <c r="E535" s="59" t="s">
        <v>1395</v>
      </c>
      <c r="F535" s="59" t="s">
        <v>177</v>
      </c>
      <c r="G535" s="59"/>
      <c r="H535" s="59" t="s">
        <v>1025</v>
      </c>
      <c r="I535" s="59" t="s">
        <v>1129</v>
      </c>
      <c r="J535" s="61" t="str">
        <f t="shared" si="20"/>
        <v>TinResind Indústria e Comércio Ltda.</v>
      </c>
      <c r="K535" s="61" t="str">
        <f t="shared" si="21"/>
        <v>TinResind Indústria e Comércio Ltda.</v>
      </c>
    </row>
    <row r="536" spans="1:11">
      <c r="A536" s="59" t="s">
        <v>146</v>
      </c>
      <c r="B536" s="59" t="s">
        <v>1396</v>
      </c>
      <c r="C536" s="59" t="s">
        <v>1396</v>
      </c>
      <c r="D536" s="59" t="s">
        <v>292</v>
      </c>
      <c r="E536" s="59" t="s">
        <v>1397</v>
      </c>
      <c r="F536" s="59" t="s">
        <v>177</v>
      </c>
      <c r="G536" s="59"/>
      <c r="H536" s="59" t="s">
        <v>1398</v>
      </c>
      <c r="I536" s="59" t="s">
        <v>1399</v>
      </c>
      <c r="J536" s="61" t="str">
        <f t="shared" si="20"/>
        <v>TinRIKAYAA GREENTECH PRIVATE LIMITED</v>
      </c>
      <c r="K536" s="61" t="str">
        <f t="shared" si="21"/>
        <v>TinRIKAYAA GREENTECH PRIVATE LIMITED</v>
      </c>
    </row>
    <row r="537" spans="1:11">
      <c r="A537" s="59" t="s">
        <v>146</v>
      </c>
      <c r="B537" s="59" t="s">
        <v>1400</v>
      </c>
      <c r="C537" s="59" t="s">
        <v>1400</v>
      </c>
      <c r="D537" s="59" t="s">
        <v>444</v>
      </c>
      <c r="E537" s="59" t="s">
        <v>1401</v>
      </c>
      <c r="F537" s="59" t="s">
        <v>177</v>
      </c>
      <c r="G537" s="59"/>
      <c r="H537" s="59" t="s">
        <v>1402</v>
      </c>
      <c r="I537" s="59" t="s">
        <v>920</v>
      </c>
      <c r="J537" s="61" t="str">
        <f t="shared" si="20"/>
        <v>TinRui Da Hung</v>
      </c>
      <c r="K537" s="61" t="str">
        <f t="shared" si="21"/>
        <v>TinRui Da Hung</v>
      </c>
    </row>
    <row r="538" spans="1:11">
      <c r="A538" s="59" t="s">
        <v>146</v>
      </c>
      <c r="B538" s="59" t="s">
        <v>1403</v>
      </c>
      <c r="C538" s="59" t="s">
        <v>1192</v>
      </c>
      <c r="D538" s="59" t="s">
        <v>257</v>
      </c>
      <c r="E538" s="59" t="s">
        <v>155</v>
      </c>
      <c r="F538" s="59" t="s">
        <v>177</v>
      </c>
      <c r="G538" s="59"/>
      <c r="H538" s="59" t="s">
        <v>1179</v>
      </c>
      <c r="I538" s="59" t="s">
        <v>379</v>
      </c>
      <c r="J538" s="61" t="str">
        <f t="shared" si="20"/>
        <v>TinSmelting Branch of Yunnan Tin Company Ltd</v>
      </c>
      <c r="K538" s="61" t="str">
        <f t="shared" si="21"/>
        <v>TinSmelting Branch of Yunnan Tin Company Ltd</v>
      </c>
    </row>
    <row r="539" spans="1:11">
      <c r="A539" s="59" t="s">
        <v>146</v>
      </c>
      <c r="B539" s="59" t="s">
        <v>1404</v>
      </c>
      <c r="C539" s="59" t="s">
        <v>1404</v>
      </c>
      <c r="D539" s="59" t="s">
        <v>250</v>
      </c>
      <c r="E539" s="59" t="s">
        <v>1405</v>
      </c>
      <c r="F539" s="59" t="s">
        <v>177</v>
      </c>
      <c r="G539" s="59"/>
      <c r="H539" s="59" t="s">
        <v>1406</v>
      </c>
      <c r="I539" s="59" t="s">
        <v>677</v>
      </c>
      <c r="J539" s="61" t="str">
        <f t="shared" si="20"/>
        <v>TinSuper Ligas</v>
      </c>
      <c r="K539" s="61" t="str">
        <f t="shared" si="21"/>
        <v>TinSuper Ligas</v>
      </c>
    </row>
    <row r="540" spans="1:11">
      <c r="A540" s="59" t="s">
        <v>146</v>
      </c>
      <c r="B540" s="59" t="s">
        <v>1407</v>
      </c>
      <c r="C540" s="59" t="s">
        <v>1407</v>
      </c>
      <c r="D540" s="59" t="s">
        <v>213</v>
      </c>
      <c r="E540" s="59" t="s">
        <v>1408</v>
      </c>
      <c r="F540" s="59" t="s">
        <v>177</v>
      </c>
      <c r="G540" s="59"/>
      <c r="H540" s="59" t="s">
        <v>742</v>
      </c>
      <c r="I540" s="59" t="s">
        <v>1409</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1410</v>
      </c>
      <c r="C541" s="59" t="s">
        <v>1411</v>
      </c>
      <c r="D541" s="59" t="s">
        <v>978</v>
      </c>
      <c r="E541" s="59" t="s">
        <v>1412</v>
      </c>
      <c r="F541" s="59" t="s">
        <v>177</v>
      </c>
      <c r="G541" s="59"/>
      <c r="H541" s="59" t="s">
        <v>1413</v>
      </c>
      <c r="I541" s="59" t="s">
        <v>1414</v>
      </c>
      <c r="J541" s="61" t="str">
        <f t="shared" si="20"/>
        <v>TinThai Solder Industry Corp., Ltd.</v>
      </c>
      <c r="K541" s="61" t="str">
        <f t="shared" si="21"/>
        <v>TinThai Solder Industry Corp., Ltd.</v>
      </c>
    </row>
    <row r="542" spans="1:11">
      <c r="A542" s="59" t="s">
        <v>146</v>
      </c>
      <c r="B542" s="59" t="s">
        <v>1415</v>
      </c>
      <c r="C542" s="59" t="s">
        <v>1411</v>
      </c>
      <c r="D542" s="59" t="s">
        <v>978</v>
      </c>
      <c r="E542" s="59" t="s">
        <v>1412</v>
      </c>
      <c r="F542" s="59" t="s">
        <v>177</v>
      </c>
      <c r="G542" s="59"/>
      <c r="H542" s="59" t="s">
        <v>1413</v>
      </c>
      <c r="I542" s="59" t="s">
        <v>1414</v>
      </c>
      <c r="J542" s="61" t="str">
        <f t="shared" si="20"/>
        <v>TinThailand Smelting &amp; Refining Co Ltd</v>
      </c>
      <c r="K542" s="61" t="str">
        <f t="shared" si="21"/>
        <v>TinThailand Smelting &amp; Refining Co Ltd</v>
      </c>
    </row>
    <row r="543" spans="1:11">
      <c r="A543" s="59" t="s">
        <v>146</v>
      </c>
      <c r="B543" s="59" t="s">
        <v>1411</v>
      </c>
      <c r="C543" s="59" t="s">
        <v>1411</v>
      </c>
      <c r="D543" s="59" t="s">
        <v>978</v>
      </c>
      <c r="E543" s="59" t="s">
        <v>1412</v>
      </c>
      <c r="F543" s="59" t="s">
        <v>177</v>
      </c>
      <c r="G543" s="59"/>
      <c r="H543" s="59" t="s">
        <v>1413</v>
      </c>
      <c r="I543" s="59" t="s">
        <v>1414</v>
      </c>
      <c r="J543" s="61" t="str">
        <f t="shared" si="20"/>
        <v>TinThaisarco</v>
      </c>
      <c r="K543" s="61" t="str">
        <f t="shared" si="21"/>
        <v>TinThaisarco</v>
      </c>
    </row>
    <row r="544" spans="1:11">
      <c r="A544" s="59" t="s">
        <v>146</v>
      </c>
      <c r="B544" s="59" t="s">
        <v>1416</v>
      </c>
      <c r="C544" s="59" t="s">
        <v>1273</v>
      </c>
      <c r="D544" s="59" t="s">
        <v>257</v>
      </c>
      <c r="E544" s="59" t="s">
        <v>1274</v>
      </c>
      <c r="F544" s="59" t="s">
        <v>177</v>
      </c>
      <c r="G544" s="59"/>
      <c r="H544" s="59" t="s">
        <v>1179</v>
      </c>
      <c r="I544" s="59" t="s">
        <v>379</v>
      </c>
      <c r="J544" s="61" t="str">
        <f t="shared" si="20"/>
        <v>TinThe Gejiu cloud new colored electrolytic</v>
      </c>
      <c r="K544" s="61" t="str">
        <f t="shared" si="21"/>
        <v>TinThe Gejiu cloud new colored electrolytic</v>
      </c>
    </row>
    <row r="545" spans="1:11">
      <c r="A545" s="59" t="s">
        <v>146</v>
      </c>
      <c r="B545" s="59" t="s">
        <v>1417</v>
      </c>
      <c r="C545" s="59" t="s">
        <v>1192</v>
      </c>
      <c r="D545" s="59" t="s">
        <v>257</v>
      </c>
      <c r="E545" s="59" t="s">
        <v>155</v>
      </c>
      <c r="F545" s="59" t="s">
        <v>177</v>
      </c>
      <c r="G545" s="59"/>
      <c r="H545" s="59" t="s">
        <v>1179</v>
      </c>
      <c r="I545" s="59" t="s">
        <v>379</v>
      </c>
      <c r="J545" s="61" t="str">
        <f t="shared" si="20"/>
        <v>TinTin Products Manufacturing Co.LTD. of YTCL</v>
      </c>
      <c r="K545" s="61" t="str">
        <f t="shared" si="21"/>
        <v>TinTin Products Manufacturing Co.LTD. of YTCL</v>
      </c>
    </row>
    <row r="546" spans="1:11">
      <c r="A546" s="59" t="s">
        <v>146</v>
      </c>
      <c r="B546" s="59" t="s">
        <v>1192</v>
      </c>
      <c r="C546" s="59" t="s">
        <v>1192</v>
      </c>
      <c r="D546" s="59" t="s">
        <v>257</v>
      </c>
      <c r="E546" s="59" t="s">
        <v>155</v>
      </c>
      <c r="F546" s="59" t="s">
        <v>177</v>
      </c>
      <c r="G546" s="59"/>
      <c r="H546" s="59" t="s">
        <v>1179</v>
      </c>
      <c r="I546" s="59" t="s">
        <v>379</v>
      </c>
      <c r="J546" s="61" t="str">
        <f t="shared" si="20"/>
        <v>TinTin Smelting Branch of Yunnan Tin Co., Ltd.</v>
      </c>
      <c r="K546" s="61" t="str">
        <f t="shared" si="21"/>
        <v>TinTin Smelting Branch of Yunnan Tin Co., Ltd.</v>
      </c>
    </row>
    <row r="547" spans="1:11">
      <c r="A547" s="59" t="s">
        <v>146</v>
      </c>
      <c r="B547" s="59" t="s">
        <v>1418</v>
      </c>
      <c r="C547" s="59" t="s">
        <v>1418</v>
      </c>
      <c r="D547" s="59" t="s">
        <v>186</v>
      </c>
      <c r="E547" s="59" t="s">
        <v>1419</v>
      </c>
      <c r="F547" s="59" t="s">
        <v>177</v>
      </c>
      <c r="G547" s="59"/>
      <c r="H547" s="59" t="s">
        <v>1420</v>
      </c>
      <c r="I547" s="59" t="s">
        <v>189</v>
      </c>
      <c r="J547" s="61" t="str">
        <f t="shared" si="20"/>
        <v>TinTin Technology &amp; Refining</v>
      </c>
      <c r="K547" s="61" t="str">
        <f t="shared" si="21"/>
        <v>TinTin Technology &amp; Refining</v>
      </c>
    </row>
    <row r="548" spans="1:11">
      <c r="A548" s="59" t="s">
        <v>146</v>
      </c>
      <c r="B548" s="59" t="s">
        <v>1421</v>
      </c>
      <c r="C548" s="59" t="s">
        <v>1102</v>
      </c>
      <c r="D548" s="59" t="s">
        <v>250</v>
      </c>
      <c r="E548" s="59" t="s">
        <v>1332</v>
      </c>
      <c r="F548" s="59" t="s">
        <v>177</v>
      </c>
      <c r="G548" s="59"/>
      <c r="H548" s="59" t="s">
        <v>1333</v>
      </c>
      <c r="I548" s="59" t="s">
        <v>677</v>
      </c>
      <c r="J548" s="61" t="str">
        <f t="shared" si="20"/>
        <v>TinToboca/ Paranapenema</v>
      </c>
      <c r="K548" s="61" t="str">
        <f t="shared" si="21"/>
        <v>TinToboca/ Paranapenema</v>
      </c>
    </row>
    <row r="549" spans="1:11">
      <c r="A549" s="59" t="s">
        <v>146</v>
      </c>
      <c r="B549" s="59" t="s">
        <v>1422</v>
      </c>
      <c r="C549" s="59" t="s">
        <v>1304</v>
      </c>
      <c r="D549" s="59" t="s">
        <v>822</v>
      </c>
      <c r="E549" s="59" t="s">
        <v>1305</v>
      </c>
      <c r="F549" s="59" t="s">
        <v>177</v>
      </c>
      <c r="G549" s="59"/>
      <c r="H549" s="59" t="s">
        <v>1306</v>
      </c>
      <c r="I549" s="59" t="s">
        <v>1307</v>
      </c>
      <c r="J549" s="61" t="str">
        <f t="shared" si="20"/>
        <v>TinUnit Timah Kundur PT Tambang</v>
      </c>
      <c r="K549" s="61" t="str">
        <f t="shared" si="21"/>
        <v>TinUnit Timah Kundur PT Tambang</v>
      </c>
    </row>
    <row r="550" spans="1:11">
      <c r="A550" s="59" t="s">
        <v>146</v>
      </c>
      <c r="B550" s="59" t="s">
        <v>1335</v>
      </c>
      <c r="C550" s="59" t="s">
        <v>1335</v>
      </c>
      <c r="D550" s="59" t="s">
        <v>1164</v>
      </c>
      <c r="E550" s="59" t="s">
        <v>1336</v>
      </c>
      <c r="F550" s="59" t="s">
        <v>177</v>
      </c>
      <c r="G550" s="59"/>
      <c r="H550" s="59" t="s">
        <v>1337</v>
      </c>
      <c r="I550" s="59" t="s">
        <v>1338</v>
      </c>
      <c r="J550" s="61" t="str">
        <f t="shared" si="20"/>
        <v>TinVQB Mineral and Trading Group JSC</v>
      </c>
      <c r="K550" s="61" t="str">
        <f t="shared" si="21"/>
        <v>TinVQB Mineral and Trading Group JSC</v>
      </c>
    </row>
    <row r="551" spans="1:11">
      <c r="A551" s="59" t="s">
        <v>146</v>
      </c>
      <c r="B551" s="59" t="s">
        <v>1423</v>
      </c>
      <c r="C551" s="59" t="s">
        <v>1423</v>
      </c>
      <c r="D551" s="59" t="s">
        <v>250</v>
      </c>
      <c r="E551" s="59" t="s">
        <v>1424</v>
      </c>
      <c r="F551" s="59" t="s">
        <v>177</v>
      </c>
      <c r="G551" s="59"/>
      <c r="H551" s="59" t="s">
        <v>1250</v>
      </c>
      <c r="I551" s="59" t="s">
        <v>1251</v>
      </c>
      <c r="J551" s="61" t="str">
        <f t="shared" si="20"/>
        <v>TinWhite Solder Metalurgia e Mineracao Ltda.</v>
      </c>
      <c r="K551" s="61" t="str">
        <f t="shared" si="21"/>
        <v>TinWhite Solder Metalurgia e Mineracao Ltda.</v>
      </c>
    </row>
    <row r="552" spans="1:11">
      <c r="A552" s="59" t="s">
        <v>146</v>
      </c>
      <c r="B552" s="59" t="s">
        <v>1425</v>
      </c>
      <c r="C552" s="59" t="s">
        <v>1423</v>
      </c>
      <c r="D552" s="59" t="s">
        <v>250</v>
      </c>
      <c r="E552" s="59" t="s">
        <v>1424</v>
      </c>
      <c r="F552" s="59" t="s">
        <v>177</v>
      </c>
      <c r="G552" s="59"/>
      <c r="H552" s="59" t="s">
        <v>1250</v>
      </c>
      <c r="I552" s="59" t="s">
        <v>1251</v>
      </c>
      <c r="J552" s="61" t="str">
        <f t="shared" si="20"/>
        <v>TinWhite Solder Metalurgia e Mineração Ltda.</v>
      </c>
      <c r="K552" s="61" t="str">
        <f t="shared" si="21"/>
        <v>TinWhite Solder Metalurgia e Mineração Ltda.</v>
      </c>
    </row>
    <row r="553" spans="1:11">
      <c r="A553" s="59" t="s">
        <v>146</v>
      </c>
      <c r="B553" s="59" t="s">
        <v>1426</v>
      </c>
      <c r="C553" s="59" t="s">
        <v>1423</v>
      </c>
      <c r="D553" s="59" t="s">
        <v>250</v>
      </c>
      <c r="E553" s="59" t="s">
        <v>1424</v>
      </c>
      <c r="F553" s="59" t="s">
        <v>177</v>
      </c>
      <c r="G553" s="59"/>
      <c r="H553" s="59" t="s">
        <v>1250</v>
      </c>
      <c r="I553" s="59" t="s">
        <v>1251</v>
      </c>
      <c r="J553" s="61" t="str">
        <f t="shared" si="20"/>
        <v>TinWhite Solder Metalurgica</v>
      </c>
      <c r="K553" s="61" t="str">
        <f t="shared" si="21"/>
        <v>TinWhite Solder Metalurgica</v>
      </c>
    </row>
    <row r="554" spans="1:11">
      <c r="A554" s="59" t="s">
        <v>146</v>
      </c>
      <c r="B554" s="59" t="s">
        <v>1427</v>
      </c>
      <c r="C554" s="59" t="s">
        <v>1427</v>
      </c>
      <c r="D554" s="59" t="s">
        <v>195</v>
      </c>
      <c r="E554" s="59" t="s">
        <v>1428</v>
      </c>
      <c r="F554" s="59" t="s">
        <v>177</v>
      </c>
      <c r="G554" s="59"/>
      <c r="H554" s="59" t="s">
        <v>1429</v>
      </c>
      <c r="I554" s="59" t="s">
        <v>1430</v>
      </c>
      <c r="J554" s="61" t="str">
        <f t="shared" si="20"/>
        <v>TinWoodcross Smelting Company Limited</v>
      </c>
      <c r="K554" s="61" t="str">
        <f t="shared" si="21"/>
        <v>TinWoodcross Smelting Company Limited</v>
      </c>
    </row>
    <row r="555" spans="1:11">
      <c r="A555" s="59" t="s">
        <v>146</v>
      </c>
      <c r="B555" s="59" t="s">
        <v>1431</v>
      </c>
      <c r="C555" s="59" t="s">
        <v>1187</v>
      </c>
      <c r="D555" s="59" t="s">
        <v>257</v>
      </c>
      <c r="E555" s="59" t="s">
        <v>154</v>
      </c>
      <c r="F555" s="59" t="s">
        <v>177</v>
      </c>
      <c r="G555" s="59"/>
      <c r="H555" s="59" t="s">
        <v>1188</v>
      </c>
      <c r="I555" s="59" t="s">
        <v>1189</v>
      </c>
      <c r="J555" s="61" t="str">
        <f t="shared" si="20"/>
        <v>TinXiHai - Liuzhou China Tin Group Co ltd</v>
      </c>
      <c r="K555" s="61" t="str">
        <f t="shared" si="21"/>
        <v>TinXiHai - Liuzhou China Tin Group Co ltd</v>
      </c>
    </row>
    <row r="556" spans="1:11">
      <c r="A556" s="59" t="s">
        <v>146</v>
      </c>
      <c r="B556" s="59" t="s">
        <v>1432</v>
      </c>
      <c r="C556" s="59" t="s">
        <v>1192</v>
      </c>
      <c r="D556" s="59" t="s">
        <v>257</v>
      </c>
      <c r="E556" s="59" t="s">
        <v>155</v>
      </c>
      <c r="F556" s="59" t="s">
        <v>177</v>
      </c>
      <c r="G556" s="59"/>
      <c r="H556" s="59" t="s">
        <v>1179</v>
      </c>
      <c r="I556" s="59" t="s">
        <v>379</v>
      </c>
      <c r="J556" s="61" t="str">
        <f t="shared" si="20"/>
        <v>TinYTCL</v>
      </c>
      <c r="K556" s="61" t="str">
        <f t="shared" si="21"/>
        <v>TinYTCL</v>
      </c>
    </row>
    <row r="557" spans="1:11">
      <c r="A557" s="59" t="s">
        <v>146</v>
      </c>
      <c r="B557" s="59" t="s">
        <v>1433</v>
      </c>
      <c r="C557" s="59" t="s">
        <v>1273</v>
      </c>
      <c r="D557" s="59" t="s">
        <v>257</v>
      </c>
      <c r="E557" s="59" t="s">
        <v>1274</v>
      </c>
      <c r="F557" s="59" t="s">
        <v>177</v>
      </c>
      <c r="G557" s="59"/>
      <c r="H557" s="59" t="s">
        <v>1179</v>
      </c>
      <c r="I557" s="59" t="s">
        <v>379</v>
      </c>
      <c r="J557" s="61" t="str">
        <f t="shared" si="20"/>
        <v>TinYunan Gejiu Yunxin Electrolyze Limited</v>
      </c>
      <c r="K557" s="61" t="str">
        <f t="shared" si="21"/>
        <v>TinYunan Gejiu Yunxin Electrolyze Limited</v>
      </c>
    </row>
    <row r="558" spans="1:11">
      <c r="A558" s="59" t="s">
        <v>146</v>
      </c>
      <c r="B558" s="59" t="s">
        <v>1434</v>
      </c>
      <c r="C558" s="59" t="s">
        <v>1177</v>
      </c>
      <c r="D558" s="59" t="s">
        <v>257</v>
      </c>
      <c r="E558" s="59" t="s">
        <v>1178</v>
      </c>
      <c r="F558" s="59" t="s">
        <v>177</v>
      </c>
      <c r="G558" s="59"/>
      <c r="H558" s="59" t="s">
        <v>1179</v>
      </c>
      <c r="I558" s="59" t="s">
        <v>379</v>
      </c>
      <c r="J558" s="61" t="str">
        <f t="shared" si="20"/>
        <v>TinYunnan Adventure Co., Ltd.</v>
      </c>
      <c r="K558" s="61" t="str">
        <f t="shared" si="21"/>
        <v>TinYunnan Adventure Co., Ltd.</v>
      </c>
    </row>
    <row r="559" spans="1:11">
      <c r="A559" s="59" t="s">
        <v>146</v>
      </c>
      <c r="B559" s="59" t="s">
        <v>1435</v>
      </c>
      <c r="C559" s="59" t="s">
        <v>1177</v>
      </c>
      <c r="D559" s="59" t="s">
        <v>257</v>
      </c>
      <c r="E559" s="59" t="s">
        <v>1178</v>
      </c>
      <c r="F559" s="59" t="s">
        <v>177</v>
      </c>
      <c r="G559" s="59"/>
      <c r="H559" s="59" t="s">
        <v>1179</v>
      </c>
      <c r="I559" s="59" t="s">
        <v>379</v>
      </c>
      <c r="J559" s="61" t="str">
        <f t="shared" si="20"/>
        <v>TinYunnan Chengfeng</v>
      </c>
      <c r="K559" s="61" t="str">
        <f t="shared" si="21"/>
        <v>TinYunnan Chengfeng</v>
      </c>
    </row>
    <row r="560" spans="1:11">
      <c r="A560" s="59" t="s">
        <v>146</v>
      </c>
      <c r="B560" s="59" t="s">
        <v>1177</v>
      </c>
      <c r="C560" s="59" t="s">
        <v>1177</v>
      </c>
      <c r="D560" s="59" t="s">
        <v>257</v>
      </c>
      <c r="E560" s="59" t="s">
        <v>1178</v>
      </c>
      <c r="F560" s="59" t="s">
        <v>177</v>
      </c>
      <c r="G560" s="59"/>
      <c r="H560" s="59" t="s">
        <v>1179</v>
      </c>
      <c r="I560" s="59" t="s">
        <v>379</v>
      </c>
      <c r="J560" s="61" t="str">
        <f t="shared" si="20"/>
        <v>TinYunnan Chengfeng Non-ferrous Metals Co., Ltd.</v>
      </c>
      <c r="K560" s="61" t="str">
        <f t="shared" si="21"/>
        <v>TinYunnan Chengfeng Non-ferrous Metals Co., Ltd.</v>
      </c>
    </row>
    <row r="561" spans="1:11">
      <c r="A561" s="59" t="s">
        <v>146</v>
      </c>
      <c r="B561" s="59" t="s">
        <v>1436</v>
      </c>
      <c r="C561" s="59" t="s">
        <v>1273</v>
      </c>
      <c r="D561" s="59" t="s">
        <v>257</v>
      </c>
      <c r="E561" s="59" t="s">
        <v>1274</v>
      </c>
      <c r="F561" s="59" t="s">
        <v>177</v>
      </c>
      <c r="G561" s="59"/>
      <c r="H561" s="59" t="s">
        <v>1179</v>
      </c>
      <c r="I561" s="59" t="s">
        <v>379</v>
      </c>
      <c r="J561" s="61" t="str">
        <f t="shared" si="20"/>
        <v>TinYunNan Gejiu Yunxin Electrolyze Limited</v>
      </c>
      <c r="K561" s="61" t="str">
        <f t="shared" si="21"/>
        <v>TinYunNan Gejiu Yunxin Electrolyze Limited</v>
      </c>
    </row>
    <row r="562" spans="1:11">
      <c r="A562" s="59" t="s">
        <v>146</v>
      </c>
      <c r="B562" s="59" t="s">
        <v>1437</v>
      </c>
      <c r="C562" s="59" t="s">
        <v>1276</v>
      </c>
      <c r="D562" s="59" t="s">
        <v>257</v>
      </c>
      <c r="E562" s="59" t="s">
        <v>1277</v>
      </c>
      <c r="F562" s="59" t="s">
        <v>177</v>
      </c>
      <c r="G562" s="59"/>
      <c r="H562" s="59" t="s">
        <v>1179</v>
      </c>
      <c r="I562" s="59" t="s">
        <v>379</v>
      </c>
      <c r="J562" s="61" t="str">
        <f t="shared" si="20"/>
        <v>TinYunnan Gejiu Zili Metallurgy Co. Ltd.</v>
      </c>
      <c r="K562" s="61" t="str">
        <f t="shared" si="21"/>
        <v>TinYunnan Gejiu Zili Metallurgy Co. Ltd.</v>
      </c>
    </row>
    <row r="563" spans="1:11">
      <c r="A563" s="59" t="s">
        <v>146</v>
      </c>
      <c r="B563" s="59" t="s">
        <v>1438</v>
      </c>
      <c r="C563" s="59" t="s">
        <v>1177</v>
      </c>
      <c r="D563" s="59" t="s">
        <v>257</v>
      </c>
      <c r="E563" s="59" t="s">
        <v>1178</v>
      </c>
      <c r="F563" s="59" t="s">
        <v>177</v>
      </c>
      <c r="G563" s="59"/>
      <c r="H563" s="59" t="s">
        <v>1179</v>
      </c>
      <c r="I563" s="59" t="s">
        <v>379</v>
      </c>
      <c r="J563" s="61" t="str">
        <f t="shared" si="20"/>
        <v>TinYunnan ride non-ferrous metal co., LTD</v>
      </c>
      <c r="K563" s="61" t="str">
        <f t="shared" si="21"/>
        <v>TinYunnan ride non-ferrous metal co., LTD</v>
      </c>
    </row>
    <row r="564" spans="1:11">
      <c r="A564" s="59" t="s">
        <v>146</v>
      </c>
      <c r="B564" s="59" t="s">
        <v>1439</v>
      </c>
      <c r="C564" s="59" t="s">
        <v>1192</v>
      </c>
      <c r="D564" s="59" t="s">
        <v>257</v>
      </c>
      <c r="E564" s="59" t="s">
        <v>155</v>
      </c>
      <c r="F564" s="59" t="s">
        <v>177</v>
      </c>
      <c r="G564" s="59"/>
      <c r="H564" s="59" t="s">
        <v>1179</v>
      </c>
      <c r="I564" s="59" t="s">
        <v>379</v>
      </c>
      <c r="J564" s="61" t="str">
        <f t="shared" si="20"/>
        <v>TinYunnan Tin Company Limited</v>
      </c>
      <c r="K564" s="61" t="str">
        <f t="shared" si="21"/>
        <v>TinYunnan Tin Company Limited</v>
      </c>
    </row>
    <row r="565" spans="1:11">
      <c r="A565" s="59" t="s">
        <v>146</v>
      </c>
      <c r="B565" s="59" t="s">
        <v>1440</v>
      </c>
      <c r="C565" s="59" t="s">
        <v>1192</v>
      </c>
      <c r="D565" s="59" t="s">
        <v>257</v>
      </c>
      <c r="E565" s="59" t="s">
        <v>155</v>
      </c>
      <c r="F565" s="59" t="s">
        <v>177</v>
      </c>
      <c r="G565" s="59"/>
      <c r="H565" s="59" t="s">
        <v>1179</v>
      </c>
      <c r="I565" s="59" t="s">
        <v>379</v>
      </c>
      <c r="J565" s="61" t="str">
        <f t="shared" si="20"/>
        <v>TinYunnan Tin Company, Ltd.</v>
      </c>
      <c r="K565" s="61" t="str">
        <f t="shared" si="21"/>
        <v>TinYunnan Tin Company, Ltd.</v>
      </c>
    </row>
    <row r="566" spans="1:11">
      <c r="A566" s="59" t="s">
        <v>146</v>
      </c>
      <c r="B566" s="59" t="s">
        <v>1441</v>
      </c>
      <c r="C566" s="59" t="s">
        <v>1177</v>
      </c>
      <c r="D566" s="59" t="s">
        <v>257</v>
      </c>
      <c r="E566" s="59" t="s">
        <v>1178</v>
      </c>
      <c r="F566" s="59" t="s">
        <v>177</v>
      </c>
      <c r="G566" s="59"/>
      <c r="H566" s="59" t="s">
        <v>1179</v>
      </c>
      <c r="I566" s="59" t="s">
        <v>379</v>
      </c>
      <c r="J566" s="61" t="str">
        <f t="shared" si="20"/>
        <v>TinYunnan wind Nonferrous Metals Co., Ltd.</v>
      </c>
      <c r="K566" s="61" t="str">
        <f t="shared" si="21"/>
        <v>TinYunnan wind Nonferrous Metals Co., Ltd.</v>
      </c>
    </row>
    <row r="567" spans="1:11">
      <c r="A567" s="59" t="s">
        <v>146</v>
      </c>
      <c r="B567" s="59" t="s">
        <v>1442</v>
      </c>
      <c r="C567" s="59" t="s">
        <v>1192</v>
      </c>
      <c r="D567" s="59" t="s">
        <v>257</v>
      </c>
      <c r="E567" s="59" t="s">
        <v>155</v>
      </c>
      <c r="F567" s="59" t="s">
        <v>177</v>
      </c>
      <c r="G567" s="59"/>
      <c r="H567" s="59" t="s">
        <v>1179</v>
      </c>
      <c r="I567" s="59" t="s">
        <v>379</v>
      </c>
      <c r="J567" s="61" t="str">
        <f t="shared" si="20"/>
        <v>TinYunnan Xi YE</v>
      </c>
      <c r="K567" s="61" t="str">
        <f t="shared" si="21"/>
        <v>TinYunnan Xi YE</v>
      </c>
    </row>
    <row r="568" spans="1:11">
      <c r="A568" s="59" t="s">
        <v>146</v>
      </c>
      <c r="B568" s="59" t="s">
        <v>1443</v>
      </c>
      <c r="C568" s="59" t="s">
        <v>1443</v>
      </c>
      <c r="D568" s="59" t="s">
        <v>257</v>
      </c>
      <c r="E568" s="59" t="s">
        <v>1444</v>
      </c>
      <c r="F568" s="59" t="s">
        <v>177</v>
      </c>
      <c r="G568" s="59"/>
      <c r="H568" s="59" t="s">
        <v>1179</v>
      </c>
      <c r="I568" s="59" t="s">
        <v>379</v>
      </c>
      <c r="J568" s="61" t="str">
        <f t="shared" si="20"/>
        <v>TinYunnan Yunfan Non-ferrous Metals Co., Ltd.</v>
      </c>
      <c r="K568" s="61" t="str">
        <f t="shared" si="21"/>
        <v>TinYunnan Yunfan Non-ferrous Metals Co., Ltd.</v>
      </c>
    </row>
    <row r="569" spans="1:11">
      <c r="A569" s="59" t="s">
        <v>146</v>
      </c>
      <c r="B569" s="59" t="s">
        <v>1445</v>
      </c>
      <c r="C569" s="59" t="s">
        <v>1192</v>
      </c>
      <c r="D569" s="59" t="s">
        <v>257</v>
      </c>
      <c r="E569" s="59" t="s">
        <v>155</v>
      </c>
      <c r="F569" s="59" t="s">
        <v>177</v>
      </c>
      <c r="G569" s="59"/>
      <c r="H569" s="59" t="s">
        <v>1179</v>
      </c>
      <c r="I569" s="59" t="s">
        <v>379</v>
      </c>
      <c r="J569" s="61" t="str">
        <f t="shared" si="20"/>
        <v>TinYuntinic Resources</v>
      </c>
      <c r="K569" s="61" t="str">
        <f t="shared" si="21"/>
        <v>TinYuntinic Resources</v>
      </c>
    </row>
    <row r="570" spans="1:11">
      <c r="A570" s="59" t="s">
        <v>146</v>
      </c>
      <c r="B570" s="59" t="s">
        <v>1446</v>
      </c>
      <c r="C570" s="59" t="s">
        <v>1273</v>
      </c>
      <c r="D570" s="59" t="s">
        <v>257</v>
      </c>
      <c r="E570" s="59" t="s">
        <v>1274</v>
      </c>
      <c r="F570" s="59" t="s">
        <v>177</v>
      </c>
      <c r="G570" s="59"/>
      <c r="H570" s="59" t="s">
        <v>1179</v>
      </c>
      <c r="I570" s="59" t="s">
        <v>379</v>
      </c>
      <c r="J570" s="61" t="str">
        <f t="shared" si="20"/>
        <v>TinYUNXIN colored electrolysis Company Limited</v>
      </c>
      <c r="K570" s="61" t="str">
        <f t="shared" si="21"/>
        <v>TinYUNXIN colored electrolysis Company Limited</v>
      </c>
    </row>
    <row r="571" spans="1:11">
      <c r="A571" s="59" t="s">
        <v>146</v>
      </c>
      <c r="B571" s="59" t="s">
        <v>1447</v>
      </c>
      <c r="C571" s="59" t="s">
        <v>1192</v>
      </c>
      <c r="D571" s="59" t="s">
        <v>257</v>
      </c>
      <c r="E571" s="59" t="s">
        <v>155</v>
      </c>
      <c r="F571" s="59" t="s">
        <v>177</v>
      </c>
      <c r="G571" s="59"/>
      <c r="H571" s="59" t="s">
        <v>1179</v>
      </c>
      <c r="I571" s="59" t="s">
        <v>379</v>
      </c>
      <c r="J571" s="61" t="str">
        <f t="shared" si="20"/>
        <v>Tin云南锡业股份有限公司锡业分公司</v>
      </c>
      <c r="K571" s="61" t="str">
        <f t="shared" si="21"/>
        <v>Tin云南锡业股份有限公司锡业分公司</v>
      </c>
    </row>
    <row r="572" spans="1:11">
      <c r="A572" s="59" t="s">
        <v>146</v>
      </c>
      <c r="B572" s="59" t="s">
        <v>1017</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213</v>
      </c>
      <c r="E574" s="59" t="s">
        <v>1449</v>
      </c>
      <c r="F574" s="59" t="s">
        <v>177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213</v>
      </c>
      <c r="E575" s="59" t="s">
        <v>1449</v>
      </c>
      <c r="F575" s="59" t="s">
        <v>177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250</v>
      </c>
      <c r="E576" s="59" t="s">
        <v>1454</v>
      </c>
      <c r="F576" s="59" t="s">
        <v>177</v>
      </c>
      <c r="G576" s="59"/>
      <c r="H576" s="59" t="s">
        <v>676</v>
      </c>
      <c r="I576" s="59" t="s">
        <v>677</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213</v>
      </c>
      <c r="E577" s="59" t="s">
        <v>1449</v>
      </c>
      <c r="F577" s="59" t="s">
        <v>177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213</v>
      </c>
      <c r="E578" s="59" t="s">
        <v>1449</v>
      </c>
      <c r="F578" s="59" t="s">
        <v>177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213</v>
      </c>
      <c r="E579" s="59" t="s">
        <v>1449</v>
      </c>
      <c r="F579" s="59" t="s">
        <v>177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1164</v>
      </c>
      <c r="E580" s="59" t="s">
        <v>1459</v>
      </c>
      <c r="F580" s="59" t="s">
        <v>177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186</v>
      </c>
      <c r="E581" s="59" t="s">
        <v>1464</v>
      </c>
      <c r="F581" s="59" t="s">
        <v>177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186</v>
      </c>
      <c r="E582" s="59" t="s">
        <v>1464</v>
      </c>
      <c r="F582" s="59" t="s">
        <v>177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257</v>
      </c>
      <c r="E583" s="59" t="s">
        <v>1470</v>
      </c>
      <c r="F583" s="59" t="s">
        <v>177</v>
      </c>
      <c r="G583" s="59"/>
      <c r="H583" s="59" t="s">
        <v>1285</v>
      </c>
      <c r="I583" s="59" t="s">
        <v>897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257</v>
      </c>
      <c r="E584" s="59" t="s">
        <v>1473</v>
      </c>
      <c r="F584" s="59" t="s">
        <v>177</v>
      </c>
      <c r="G584" s="59"/>
      <c r="H584" s="59" t="s">
        <v>554</v>
      </c>
      <c r="I584" s="59" t="s">
        <v>549</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257</v>
      </c>
      <c r="E585" s="59" t="s">
        <v>1476</v>
      </c>
      <c r="F585" s="59" t="s">
        <v>177</v>
      </c>
      <c r="G585" s="59"/>
      <c r="H585" s="59" t="s">
        <v>671</v>
      </c>
      <c r="I585" s="59" t="s">
        <v>389</v>
      </c>
      <c r="J585" s="61" t="str">
        <f t="shared" si="22"/>
        <v>TungstenChina Molybdenum Co., Ltd.</v>
      </c>
      <c r="K585" s="61" t="str">
        <f t="shared" si="23"/>
        <v>TungstenChina Molybdenum Co., Ltd.</v>
      </c>
    </row>
    <row r="586" spans="1:11">
      <c r="A586" s="59" t="s">
        <v>147</v>
      </c>
      <c r="B586" s="59" t="s">
        <v>1475</v>
      </c>
      <c r="C586" s="59" t="s">
        <v>1475</v>
      </c>
      <c r="D586" s="59" t="s">
        <v>257</v>
      </c>
      <c r="E586" s="59" t="s">
        <v>1476</v>
      </c>
      <c r="F586" s="59" t="s">
        <v>177</v>
      </c>
      <c r="G586" s="59"/>
      <c r="H586" s="59" t="s">
        <v>671</v>
      </c>
      <c r="I586" s="59" t="s">
        <v>389</v>
      </c>
      <c r="J586" s="61" t="str">
        <f t="shared" si="22"/>
        <v>TungstenChina Molybdenum Tungsten Co., Ltd.</v>
      </c>
      <c r="K586" s="61" t="str">
        <f t="shared" si="23"/>
        <v>TungstenChina Molybdenum Tungsten Co., Ltd.</v>
      </c>
    </row>
    <row r="587" spans="1:11">
      <c r="A587" s="59" t="s">
        <v>147</v>
      </c>
      <c r="B587" s="59" t="s">
        <v>1477</v>
      </c>
      <c r="C587" s="59" t="s">
        <v>1475</v>
      </c>
      <c r="D587" s="59" t="s">
        <v>257</v>
      </c>
      <c r="E587" s="59" t="s">
        <v>1476</v>
      </c>
      <c r="F587" s="59" t="s">
        <v>177</v>
      </c>
      <c r="G587" s="59"/>
      <c r="H587" s="59" t="s">
        <v>671</v>
      </c>
      <c r="I587" s="59" t="s">
        <v>389</v>
      </c>
      <c r="J587" s="61" t="str">
        <f t="shared" si="22"/>
        <v>TungstenChina MuYe Tungsten Co,. Ltd.</v>
      </c>
      <c r="K587" s="61" t="str">
        <f t="shared" si="23"/>
        <v>TungstenChina MuYe Tungsten Co,. Ltd.</v>
      </c>
    </row>
    <row r="588" spans="1:11">
      <c r="A588" s="59" t="s">
        <v>147</v>
      </c>
      <c r="B588" s="59" t="s">
        <v>1478</v>
      </c>
      <c r="C588" s="59" t="s">
        <v>1478</v>
      </c>
      <c r="D588" s="59" t="s">
        <v>257</v>
      </c>
      <c r="E588" s="59" t="s">
        <v>1479</v>
      </c>
      <c r="F588" s="59" t="s">
        <v>177</v>
      </c>
      <c r="G588" s="59"/>
      <c r="H588" s="59" t="s">
        <v>1299</v>
      </c>
      <c r="I588" s="59" t="s">
        <v>593</v>
      </c>
      <c r="J588" s="61" t="str">
        <f t="shared" si="22"/>
        <v>TungstenChongyi Zhangyuan Tungsten Co., Ltd.</v>
      </c>
      <c r="K588" s="61" t="str">
        <f t="shared" si="23"/>
        <v>TungstenChongyi Zhangyuan Tungsten Co., Ltd.</v>
      </c>
    </row>
    <row r="589" spans="1:11">
      <c r="A589" s="59" t="s">
        <v>147</v>
      </c>
      <c r="B589" s="59" t="s">
        <v>1480</v>
      </c>
      <c r="C589" s="59" t="s">
        <v>1480</v>
      </c>
      <c r="D589" s="59" t="s">
        <v>250</v>
      </c>
      <c r="E589" s="59" t="s">
        <v>1481</v>
      </c>
      <c r="F589" s="59" t="s">
        <v>177</v>
      </c>
      <c r="G589" s="59"/>
      <c r="H589" s="59" t="s">
        <v>1482</v>
      </c>
      <c r="I589" s="59" t="s">
        <v>1204</v>
      </c>
      <c r="J589" s="61" t="str">
        <f t="shared" si="22"/>
        <v>TungstenCronimet Brasil Ltda</v>
      </c>
      <c r="K589" s="61" t="str">
        <f t="shared" si="23"/>
        <v>TungstenCronimet Brasil Ltda</v>
      </c>
    </row>
    <row r="590" spans="1:11">
      <c r="A590" s="59" t="s">
        <v>147</v>
      </c>
      <c r="B590" s="59" t="s">
        <v>1483</v>
      </c>
      <c r="C590" s="59" t="s">
        <v>1484</v>
      </c>
      <c r="D590" s="59" t="s">
        <v>257</v>
      </c>
      <c r="E590" s="59" t="s">
        <v>1485</v>
      </c>
      <c r="F590" s="59" t="s">
        <v>177</v>
      </c>
      <c r="G590" s="59"/>
      <c r="H590" s="59" t="s">
        <v>488</v>
      </c>
      <c r="I590" s="59" t="s">
        <v>489</v>
      </c>
      <c r="J590" s="61" t="str">
        <f t="shared" si="22"/>
        <v>TungstenFujian Xinlu Tungsten</v>
      </c>
      <c r="K590" s="61" t="str">
        <f t="shared" si="23"/>
        <v>TungstenFujian Xinlu Tungsten</v>
      </c>
    </row>
    <row r="591" spans="1:11">
      <c r="A591" s="59" t="s">
        <v>147</v>
      </c>
      <c r="B591" s="59" t="s">
        <v>1484</v>
      </c>
      <c r="C591" s="59" t="s">
        <v>1484</v>
      </c>
      <c r="D591" s="59" t="s">
        <v>257</v>
      </c>
      <c r="E591" s="59" t="s">
        <v>1485</v>
      </c>
      <c r="F591" s="59" t="s">
        <v>177</v>
      </c>
      <c r="G591" s="59"/>
      <c r="H591" s="59" t="s">
        <v>488</v>
      </c>
      <c r="I591" s="59" t="s">
        <v>489</v>
      </c>
      <c r="J591" s="61" t="str">
        <f t="shared" si="22"/>
        <v>TungstenFujian Xinlu Tungsten Co., Ltd.</v>
      </c>
      <c r="K591" s="61" t="str">
        <f t="shared" si="23"/>
        <v>TungstenFujian Xinlu Tungsten Co., Ltd.</v>
      </c>
    </row>
    <row r="592" spans="1:11">
      <c r="A592" s="59" t="s">
        <v>147</v>
      </c>
      <c r="B592" s="59" t="s">
        <v>1486</v>
      </c>
      <c r="C592" s="59" t="s">
        <v>1486</v>
      </c>
      <c r="D592" s="59" t="s">
        <v>257</v>
      </c>
      <c r="E592" s="59" t="s">
        <v>1487</v>
      </c>
      <c r="F592" s="59" t="s">
        <v>177</v>
      </c>
      <c r="G592" s="59"/>
      <c r="H592" s="59" t="s">
        <v>1299</v>
      </c>
      <c r="I592" s="59" t="s">
        <v>593</v>
      </c>
      <c r="J592" s="61" t="str">
        <f t="shared" si="22"/>
        <v>TungstenGanzhou Jiangwu Ferrotungsten Co., Ltd.</v>
      </c>
      <c r="K592" s="61" t="str">
        <f t="shared" si="23"/>
        <v>TungstenGanzhou Jiangwu Ferrotungsten Co., Ltd.</v>
      </c>
    </row>
    <row r="593" spans="1:11">
      <c r="A593" s="59" t="s">
        <v>147</v>
      </c>
      <c r="B593" s="59" t="s">
        <v>1488</v>
      </c>
      <c r="C593" s="59" t="s">
        <v>1488</v>
      </c>
      <c r="D593" s="59" t="s">
        <v>257</v>
      </c>
      <c r="E593" s="59" t="s">
        <v>1489</v>
      </c>
      <c r="F593" s="59" t="s">
        <v>177</v>
      </c>
      <c r="G593" s="59"/>
      <c r="H593" s="59" t="s">
        <v>1299</v>
      </c>
      <c r="I593" s="59" t="s">
        <v>593</v>
      </c>
      <c r="J593" s="61" t="str">
        <f t="shared" si="22"/>
        <v>TungstenGanzhou Seadragon W &amp; Mo Co., Ltd.</v>
      </c>
      <c r="K593" s="61" t="str">
        <f t="shared" si="23"/>
        <v>TungstenGanzhou Seadragon W &amp; Mo Co., Ltd.</v>
      </c>
    </row>
    <row r="594" spans="1:11">
      <c r="A594" s="59" t="s">
        <v>147</v>
      </c>
      <c r="B594" s="59" t="s">
        <v>1490</v>
      </c>
      <c r="C594" s="59" t="s">
        <v>1491</v>
      </c>
      <c r="D594" s="59" t="s">
        <v>257</v>
      </c>
      <c r="E594" s="59" t="s">
        <v>1492</v>
      </c>
      <c r="F594" s="59" t="s">
        <v>177</v>
      </c>
      <c r="G594" s="59"/>
      <c r="H594" s="59" t="s">
        <v>896</v>
      </c>
      <c r="I594" s="59" t="s">
        <v>897</v>
      </c>
      <c r="J594" s="61" t="str">
        <f t="shared" si="22"/>
        <v>TungstenGEM Co., Ltd.</v>
      </c>
      <c r="K594" s="61" t="str">
        <f t="shared" si="23"/>
        <v>TungstenGEM Co., Ltd.</v>
      </c>
    </row>
    <row r="595" spans="1:11">
      <c r="A595" s="59" t="s">
        <v>147</v>
      </c>
      <c r="B595" s="59" t="s">
        <v>1493</v>
      </c>
      <c r="C595" s="59" t="s">
        <v>1493</v>
      </c>
      <c r="D595" s="59" t="s">
        <v>1494</v>
      </c>
      <c r="E595" s="59" t="s">
        <v>1495</v>
      </c>
      <c r="F595" s="59" t="s">
        <v>177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186</v>
      </c>
      <c r="E596" s="59" t="s">
        <v>1498</v>
      </c>
      <c r="F596" s="59" t="s">
        <v>177</v>
      </c>
      <c r="G596" s="59"/>
      <c r="H596" s="59" t="s">
        <v>1499</v>
      </c>
      <c r="I596" s="59" t="s">
        <v>189</v>
      </c>
      <c r="J596" s="61" t="str">
        <f t="shared" si="22"/>
        <v>TungstenGlobal Tungsten &amp; Powders LLC</v>
      </c>
      <c r="K596" s="61" t="str">
        <f t="shared" si="23"/>
        <v>TungstenGlobal Tungsten &amp; Powders LLC</v>
      </c>
    </row>
    <row r="597" spans="1:11">
      <c r="A597" s="59" t="s">
        <v>147</v>
      </c>
      <c r="B597" s="59" t="s">
        <v>1500</v>
      </c>
      <c r="C597" s="59" t="s">
        <v>1497</v>
      </c>
      <c r="D597" s="59" t="s">
        <v>186</v>
      </c>
      <c r="E597" s="59" t="s">
        <v>1498</v>
      </c>
      <c r="F597" s="59" t="s">
        <v>177</v>
      </c>
      <c r="G597" s="59"/>
      <c r="H597" s="59" t="s">
        <v>1499</v>
      </c>
      <c r="I597" s="59" t="s">
        <v>189</v>
      </c>
      <c r="J597" s="61" t="str">
        <f t="shared" si="22"/>
        <v>TungstenGTP</v>
      </c>
      <c r="K597" s="61" t="str">
        <f t="shared" si="23"/>
        <v>TungstenGTP</v>
      </c>
    </row>
    <row r="598" spans="1:11">
      <c r="A598" s="59" t="s">
        <v>147</v>
      </c>
      <c r="B598" s="59" t="s">
        <v>1469</v>
      </c>
      <c r="C598" s="59" t="s">
        <v>1469</v>
      </c>
      <c r="D598" s="59" t="s">
        <v>257</v>
      </c>
      <c r="E598" s="59" t="s">
        <v>1470</v>
      </c>
      <c r="F598" s="59" t="s">
        <v>177</v>
      </c>
      <c r="G598" s="59"/>
      <c r="H598" s="59" t="s">
        <v>1285</v>
      </c>
      <c r="I598" s="59" t="s">
        <v>897</v>
      </c>
      <c r="J598" s="61" t="str">
        <f t="shared" si="22"/>
        <v>TungstenGuangdong Xianglu Tungsten Co., Ltd.</v>
      </c>
      <c r="K598" s="61" t="str">
        <f t="shared" si="23"/>
        <v>TungstenGuangdong Xianglu Tungsten Co., Ltd.</v>
      </c>
    </row>
    <row r="599" spans="1:11">
      <c r="A599" s="59" t="s">
        <v>147</v>
      </c>
      <c r="B599" s="59" t="s">
        <v>1062</v>
      </c>
      <c r="C599" s="59" t="s">
        <v>1063</v>
      </c>
      <c r="D599" s="59" t="s">
        <v>200</v>
      </c>
      <c r="E599" s="59" t="s">
        <v>1501</v>
      </c>
      <c r="F599" s="59" t="s">
        <v>177</v>
      </c>
      <c r="G599" s="59"/>
      <c r="H599" s="59" t="s">
        <v>1065</v>
      </c>
      <c r="I599" s="59" t="s">
        <v>203</v>
      </c>
      <c r="J599" s="61" t="str">
        <f t="shared" si="22"/>
        <v>TungstenH.C. Starck Smelting GmbH &amp; Co. KG</v>
      </c>
      <c r="K599" s="61" t="str">
        <f t="shared" si="23"/>
        <v>TungstenH.C. Starck Smelting GmbH &amp; Co. KG</v>
      </c>
    </row>
    <row r="600" spans="1:11">
      <c r="A600" s="59" t="s">
        <v>147</v>
      </c>
      <c r="B600" s="59" t="s">
        <v>1502</v>
      </c>
      <c r="C600" s="59" t="s">
        <v>1502</v>
      </c>
      <c r="D600" s="59" t="s">
        <v>200</v>
      </c>
      <c r="E600" s="59" t="s">
        <v>1503</v>
      </c>
      <c r="F600" s="59" t="s">
        <v>177</v>
      </c>
      <c r="G600" s="59"/>
      <c r="H600" s="59" t="s">
        <v>1069</v>
      </c>
      <c r="I600" s="59" t="s">
        <v>1070</v>
      </c>
      <c r="J600" s="61" t="str">
        <f t="shared" si="22"/>
        <v>TungstenH.C. Starck Tungsten GmbH</v>
      </c>
      <c r="K600" s="61" t="str">
        <f t="shared" si="23"/>
        <v>TungstenH.C. Starck Tungsten GmbH</v>
      </c>
    </row>
    <row r="601" spans="1:11">
      <c r="A601" s="55" t="s">
        <v>147</v>
      </c>
      <c r="B601" s="55" t="s">
        <v>1504</v>
      </c>
      <c r="C601" s="55" t="s">
        <v>1486</v>
      </c>
      <c r="D601" s="55" t="s">
        <v>257</v>
      </c>
      <c r="E601" s="55" t="s">
        <v>1487</v>
      </c>
      <c r="F601" s="59" t="s">
        <v>177</v>
      </c>
      <c r="H601" s="59" t="s">
        <v>1299</v>
      </c>
      <c r="I601" s="55" t="s">
        <v>593</v>
      </c>
      <c r="J601" s="61" t="str">
        <f t="shared" si="22"/>
        <v>TungstenHan River Pelican State Alloy Co., Ltd.</v>
      </c>
      <c r="K601" s="61" t="str">
        <f t="shared" si="23"/>
        <v>TungstenHan River Pelican State Alloy Co., Ltd.</v>
      </c>
    </row>
    <row r="602" spans="1:11">
      <c r="A602" s="55" t="s">
        <v>147</v>
      </c>
      <c r="B602" s="55" t="s">
        <v>1491</v>
      </c>
      <c r="C602" s="55" t="s">
        <v>1491</v>
      </c>
      <c r="D602" s="55" t="s">
        <v>257</v>
      </c>
      <c r="E602" s="55" t="s">
        <v>1492</v>
      </c>
      <c r="F602" s="59" t="s">
        <v>177</v>
      </c>
      <c r="H602" s="59" t="s">
        <v>896</v>
      </c>
      <c r="I602" s="55" t="s">
        <v>897</v>
      </c>
      <c r="J602" s="61" t="str">
        <f t="shared" si="22"/>
        <v>TungstenHubei Green Tungsten Co., Ltd.</v>
      </c>
      <c r="K602" s="61" t="str">
        <f t="shared" si="23"/>
        <v>TungstenHubei Green Tungsten Co., Ltd.</v>
      </c>
    </row>
    <row r="603" spans="1:11">
      <c r="A603" s="55" t="s">
        <v>147</v>
      </c>
      <c r="B603" s="55" t="s">
        <v>1505</v>
      </c>
      <c r="C603" s="55" t="s">
        <v>1506</v>
      </c>
      <c r="D603" s="55" t="s">
        <v>257</v>
      </c>
      <c r="E603" s="55" t="s">
        <v>1507</v>
      </c>
      <c r="F603" s="59" t="s">
        <v>177</v>
      </c>
      <c r="H603" s="59" t="s">
        <v>1073</v>
      </c>
      <c r="I603" s="55" t="s">
        <v>549</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257</v>
      </c>
      <c r="E604" s="55" t="s">
        <v>1507</v>
      </c>
      <c r="F604" s="59" t="s">
        <v>177</v>
      </c>
      <c r="H604" s="59" t="s">
        <v>1073</v>
      </c>
      <c r="I604" s="55" t="s">
        <v>549</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257</v>
      </c>
      <c r="E605" s="55" t="s">
        <v>1507</v>
      </c>
      <c r="F605" s="59" t="s">
        <v>177</v>
      </c>
      <c r="H605" s="59" t="s">
        <v>1073</v>
      </c>
      <c r="I605" s="55" t="s">
        <v>549</v>
      </c>
      <c r="J605" s="61" t="str">
        <f t="shared" si="22"/>
        <v>TungstenHunan Jintai New Material Co., Ltd.</v>
      </c>
      <c r="K605" s="61" t="str">
        <f t="shared" si="23"/>
        <v>TungstenHunan Jintai New Material Co., Ltd.</v>
      </c>
    </row>
    <row r="606" spans="1:11">
      <c r="A606" s="55" t="s">
        <v>147</v>
      </c>
      <c r="B606" s="55" t="s">
        <v>1472</v>
      </c>
      <c r="C606" s="55" t="s">
        <v>1472</v>
      </c>
      <c r="D606" s="55" t="s">
        <v>257</v>
      </c>
      <c r="E606" s="55" t="s">
        <v>1473</v>
      </c>
      <c r="F606" s="59" t="s">
        <v>177</v>
      </c>
      <c r="H606" s="59" t="s">
        <v>554</v>
      </c>
      <c r="I606" s="55" t="s">
        <v>549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439</v>
      </c>
      <c r="E607" s="55" t="s">
        <v>1510</v>
      </c>
      <c r="F607" s="59" t="s">
        <v>177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213</v>
      </c>
      <c r="E608" s="55" t="s">
        <v>1514</v>
      </c>
      <c r="F608" s="59" t="s">
        <v>177</v>
      </c>
      <c r="H608" s="59" t="s">
        <v>1515</v>
      </c>
      <c r="I608" s="55" t="s">
        <v>221</v>
      </c>
      <c r="J608" s="61" t="str">
        <f t="shared" si="22"/>
        <v>TungstenJapan New Metals Co., Ltd.</v>
      </c>
      <c r="K608" s="61" t="str">
        <f t="shared" si="23"/>
        <v>TungstenJapan New Metals Co., Ltd.</v>
      </c>
    </row>
    <row r="609" spans="1:11">
      <c r="A609" s="55" t="s">
        <v>147</v>
      </c>
      <c r="B609" s="55" t="s">
        <v>1516</v>
      </c>
      <c r="C609" s="55" t="s">
        <v>1516</v>
      </c>
      <c r="D609" s="55" t="s">
        <v>257</v>
      </c>
      <c r="E609" s="55" t="s">
        <v>1517</v>
      </c>
      <c r="F609" s="59" t="s">
        <v>177</v>
      </c>
      <c r="H609" s="59" t="s">
        <v>1299</v>
      </c>
      <c r="I609" s="55" t="s">
        <v>593</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257</v>
      </c>
      <c r="E610" s="55" t="s">
        <v>1519</v>
      </c>
      <c r="F610" s="59" t="s">
        <v>177</v>
      </c>
      <c r="H610" s="59" t="s">
        <v>1520</v>
      </c>
      <c r="I610" s="55" t="s">
        <v>593</v>
      </c>
      <c r="J610" s="61" t="str">
        <f t="shared" si="22"/>
        <v>TungstenJiangxi Gan Bei Tungsten Co., Ltd.</v>
      </c>
      <c r="K610" s="61" t="str">
        <f t="shared" si="23"/>
        <v>TungstenJiangxi Gan Bei Tungsten Co., Ltd.</v>
      </c>
    </row>
    <row r="611" spans="1:11">
      <c r="A611" s="55" t="s">
        <v>147</v>
      </c>
      <c r="B611" s="55" t="s">
        <v>1521</v>
      </c>
      <c r="C611" s="55" t="s">
        <v>1521</v>
      </c>
      <c r="D611" s="55" t="s">
        <v>257</v>
      </c>
      <c r="E611" s="55" t="s">
        <v>1522</v>
      </c>
      <c r="F611" s="59" t="s">
        <v>177</v>
      </c>
      <c r="H611" s="59" t="s">
        <v>1523</v>
      </c>
      <c r="I611" s="55" t="s">
        <v>593</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257</v>
      </c>
      <c r="E612" s="55" t="s">
        <v>1525</v>
      </c>
      <c r="F612" s="59" t="s">
        <v>177</v>
      </c>
      <c r="H612" s="59" t="s">
        <v>1299</v>
      </c>
      <c r="I612" s="55" t="s">
        <v>593</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257</v>
      </c>
      <c r="E613" s="55" t="s">
        <v>1527</v>
      </c>
      <c r="F613" s="59" t="s">
        <v>177</v>
      </c>
      <c r="H613" s="59" t="s">
        <v>1299</v>
      </c>
      <c r="I613" s="55" t="s">
        <v>593</v>
      </c>
      <c r="J613" s="61" t="str">
        <f t="shared" si="22"/>
        <v>TungstenJiangxi Yaosheng Tungsten Co., Ltd.</v>
      </c>
      <c r="K613" s="61" t="str">
        <f t="shared" si="23"/>
        <v>TungstenJiangxi Yaosheng Tungsten Co., Ltd.</v>
      </c>
    </row>
    <row r="614" spans="1:11">
      <c r="A614" s="55" t="s">
        <v>147</v>
      </c>
      <c r="B614" s="55" t="s">
        <v>1528</v>
      </c>
      <c r="C614" s="55" t="s">
        <v>1528</v>
      </c>
      <c r="D614" s="55" t="s">
        <v>444</v>
      </c>
      <c r="E614" s="55" t="s">
        <v>1529</v>
      </c>
      <c r="F614" s="59" t="s">
        <v>177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257</v>
      </c>
      <c r="E615" s="55" t="s">
        <v>1492</v>
      </c>
      <c r="F615" s="59" t="s">
        <v>177</v>
      </c>
      <c r="H615" s="59" t="s">
        <v>896</v>
      </c>
      <c r="I615" s="55" t="s">
        <v>897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439</v>
      </c>
      <c r="E616" s="55" t="s">
        <v>1534</v>
      </c>
      <c r="F616" s="59" t="s">
        <v>177</v>
      </c>
      <c r="H616" s="59" t="s">
        <v>1535</v>
      </c>
      <c r="I616" s="55" t="s">
        <v>442</v>
      </c>
      <c r="J616" s="61" t="str">
        <f t="shared" si="22"/>
        <v>TungstenJSC "Kirovgrad Hard Alloys Plant"</v>
      </c>
      <c r="K616" s="61" t="str">
        <f t="shared" si="23"/>
        <v>TungstenJSC "Kirovgrad Hard Alloys Plant"</v>
      </c>
    </row>
    <row r="617" spans="1:11">
      <c r="A617" s="55" t="s">
        <v>147</v>
      </c>
      <c r="B617" s="55" t="s">
        <v>1536</v>
      </c>
      <c r="C617" s="55" t="s">
        <v>1537</v>
      </c>
      <c r="D617" s="55" t="s">
        <v>1164</v>
      </c>
      <c r="E617" s="55" t="s">
        <v>1538</v>
      </c>
      <c r="F617" s="59" t="s">
        <v>177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1164</v>
      </c>
      <c r="E618" s="55" t="s">
        <v>1538</v>
      </c>
      <c r="F618" s="59" t="s">
        <v>177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186</v>
      </c>
      <c r="E619" s="55" t="s">
        <v>1542</v>
      </c>
      <c r="F619" s="59" t="s">
        <v>177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186</v>
      </c>
      <c r="E620" s="55" t="s">
        <v>1464</v>
      </c>
      <c r="F620" s="59" t="s">
        <v>177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444</v>
      </c>
      <c r="E621" s="55" t="s">
        <v>1546</v>
      </c>
      <c r="F621" s="59" t="s">
        <v>177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444</v>
      </c>
      <c r="E622" s="55" t="s">
        <v>1549</v>
      </c>
      <c r="F622" s="59" t="s">
        <v>177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257</v>
      </c>
      <c r="E623" s="55" t="s">
        <v>1553</v>
      </c>
      <c r="F623" s="59" t="s">
        <v>177</v>
      </c>
      <c r="H623" s="59" t="s">
        <v>1554</v>
      </c>
      <c r="I623" s="55" t="s">
        <v>379</v>
      </c>
      <c r="J623" s="61" t="str">
        <f t="shared" si="22"/>
        <v>TungstenMalipo Haiyu Tungsten Co., Ltd.</v>
      </c>
      <c r="K623" s="61" t="str">
        <f t="shared" si="23"/>
        <v>TungstenMalipo Haiyu Tungsten Co., Ltd.</v>
      </c>
    </row>
    <row r="624" spans="1:11">
      <c r="A624" s="55" t="s">
        <v>147</v>
      </c>
      <c r="B624" s="55" t="s">
        <v>1555</v>
      </c>
      <c r="C624" s="55" t="s">
        <v>1555</v>
      </c>
      <c r="D624" s="55" t="s">
        <v>1164</v>
      </c>
      <c r="E624" s="55" t="s">
        <v>1556</v>
      </c>
      <c r="F624" s="59" t="s">
        <v>177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1164</v>
      </c>
      <c r="E625" s="55" t="s">
        <v>1556</v>
      </c>
      <c r="F625" s="59" t="s">
        <v>177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439</v>
      </c>
      <c r="E626" s="55" t="s">
        <v>1561</v>
      </c>
      <c r="F626" s="59" t="s">
        <v>177</v>
      </c>
      <c r="H626" s="59" t="s">
        <v>1562</v>
      </c>
      <c r="I626" s="55" t="s">
        <v>913</v>
      </c>
      <c r="J626" s="61" t="str">
        <f t="shared" si="22"/>
        <v>TungstenMoliren Ltd.</v>
      </c>
      <c r="K626" s="61" t="str">
        <f t="shared" si="23"/>
        <v>TungstenMoliren Ltd.</v>
      </c>
    </row>
    <row r="627" spans="1:11">
      <c r="A627" s="55" t="s">
        <v>147</v>
      </c>
      <c r="B627" s="55" t="s">
        <v>1563</v>
      </c>
      <c r="C627" s="55" t="s">
        <v>1563</v>
      </c>
      <c r="D627" s="55" t="s">
        <v>1164</v>
      </c>
      <c r="E627" s="55" t="s">
        <v>1564</v>
      </c>
      <c r="F627" s="59" t="s">
        <v>177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1164</v>
      </c>
      <c r="E628" s="55" t="s">
        <v>1564</v>
      </c>
      <c r="F628" s="59" t="s">
        <v>177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186</v>
      </c>
      <c r="E629" s="55" t="s">
        <v>1569</v>
      </c>
      <c r="F629" s="59" t="s">
        <v>177</v>
      </c>
      <c r="H629" s="59" t="s">
        <v>1570</v>
      </c>
      <c r="I629" s="55" t="s">
        <v>681</v>
      </c>
      <c r="J629" s="61" t="str">
        <f t="shared" si="22"/>
        <v>TungstenNiagara Refining LLC</v>
      </c>
      <c r="K629" s="61" t="str">
        <f t="shared" si="23"/>
        <v>TungstenNiagara Refining LLC</v>
      </c>
    </row>
    <row r="630" spans="1:11">
      <c r="A630" s="55" t="s">
        <v>147</v>
      </c>
      <c r="B630" s="55" t="s">
        <v>1571</v>
      </c>
      <c r="C630" s="55" t="s">
        <v>1571</v>
      </c>
      <c r="D630" s="55" t="s">
        <v>439</v>
      </c>
      <c r="E630" s="55" t="s">
        <v>1572</v>
      </c>
      <c r="F630" s="59" t="s">
        <v>177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1164</v>
      </c>
      <c r="E631" s="55" t="s">
        <v>1556</v>
      </c>
      <c r="F631" s="59" t="s">
        <v>177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439</v>
      </c>
      <c r="E632" s="55" t="s">
        <v>1577</v>
      </c>
      <c r="F632" s="59" t="s">
        <v>177</v>
      </c>
      <c r="H632" s="59" t="s">
        <v>1578</v>
      </c>
      <c r="I632" s="55" t="s">
        <v>913</v>
      </c>
      <c r="J632" s="61" t="str">
        <f t="shared" si="22"/>
        <v>TungstenOOO “Technolom” 1</v>
      </c>
      <c r="K632" s="61" t="str">
        <f t="shared" si="23"/>
        <v>TungstenOOO “Technolom” 1</v>
      </c>
    </row>
    <row r="633" spans="1:11">
      <c r="A633" s="55" t="s">
        <v>147</v>
      </c>
      <c r="B633" s="55" t="s">
        <v>1579</v>
      </c>
      <c r="C633" s="55" t="s">
        <v>1579</v>
      </c>
      <c r="D633" s="55" t="s">
        <v>439</v>
      </c>
      <c r="E633" s="55" t="s">
        <v>1580</v>
      </c>
      <c r="F633" s="59" t="s">
        <v>177</v>
      </c>
      <c r="H633" s="59" t="s">
        <v>1578</v>
      </c>
      <c r="I633" s="55" t="s">
        <v>913</v>
      </c>
      <c r="J633" s="61" t="str">
        <f t="shared" si="22"/>
        <v>TungstenOOO “Technolom” 2</v>
      </c>
      <c r="K633" s="61" t="str">
        <f t="shared" si="23"/>
        <v>TungstenOOO “Technolom” 2</v>
      </c>
    </row>
    <row r="634" spans="1:11">
      <c r="A634" s="55" t="s">
        <v>147</v>
      </c>
      <c r="B634" s="55" t="s">
        <v>1581</v>
      </c>
      <c r="C634" s="55" t="s">
        <v>1581</v>
      </c>
      <c r="D634" s="55" t="s">
        <v>323</v>
      </c>
      <c r="E634" s="55" t="s">
        <v>1582</v>
      </c>
      <c r="F634" s="59" t="s">
        <v>177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323</v>
      </c>
      <c r="E635" s="55" t="s">
        <v>1586</v>
      </c>
      <c r="F635" s="59" t="s">
        <v>177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859</v>
      </c>
      <c r="E636" s="55" t="s">
        <v>1588</v>
      </c>
      <c r="F636" s="59" t="s">
        <v>177</v>
      </c>
      <c r="H636" s="59" t="s">
        <v>1589</v>
      </c>
      <c r="I636" s="55" t="s">
        <v>1590</v>
      </c>
      <c r="J636" s="61" t="str">
        <f t="shared" si="22"/>
        <v>TungstenS.P.T. spol.s r.o.</v>
      </c>
      <c r="K636" s="61" t="str">
        <f t="shared" si="23"/>
        <v>TungstenS.P.T. spol.s r.o.</v>
      </c>
    </row>
    <row r="637" spans="1:11">
      <c r="A637" s="55" t="s">
        <v>147</v>
      </c>
      <c r="B637" s="55" t="s">
        <v>1591</v>
      </c>
      <c r="C637" s="55" t="s">
        <v>1591</v>
      </c>
      <c r="D637" s="55" t="s">
        <v>257</v>
      </c>
      <c r="E637" s="55" t="s">
        <v>1592</v>
      </c>
      <c r="F637" s="59" t="s">
        <v>177</v>
      </c>
      <c r="H637" s="59" t="s">
        <v>488</v>
      </c>
      <c r="I637" s="55" t="s">
        <v>489</v>
      </c>
      <c r="J637" s="61" t="str">
        <f t="shared" si="22"/>
        <v>TungstenShinwon Tungsten (Fujian Shanghang) Co., Ltd.</v>
      </c>
      <c r="K637" s="61" t="str">
        <f t="shared" si="23"/>
        <v>TungstenShinwon Tungsten (Fujian Shanghang) Co., Ltd.</v>
      </c>
    </row>
    <row r="638" spans="1:11">
      <c r="A638" s="55" t="s">
        <v>147</v>
      </c>
      <c r="B638" s="55" t="s">
        <v>1063</v>
      </c>
      <c r="C638" s="55" t="s">
        <v>1063</v>
      </c>
      <c r="D638" s="55" t="s">
        <v>200</v>
      </c>
      <c r="E638" s="55" t="s">
        <v>1501</v>
      </c>
      <c r="F638" s="59" t="s">
        <v>177</v>
      </c>
      <c r="H638" s="59" t="s">
        <v>1065</v>
      </c>
      <c r="I638" s="55" t="s">
        <v>203</v>
      </c>
      <c r="J638" s="61" t="str">
        <f t="shared" si="22"/>
        <v>TungstenTANIOBIS Smelting GmbH &amp; Co. KG</v>
      </c>
      <c r="K638" s="61" t="str">
        <f t="shared" si="23"/>
        <v>TungstenTANIOBIS Smelting GmbH &amp; Co. KG</v>
      </c>
    </row>
    <row r="639" spans="1:11">
      <c r="A639" s="55" t="s">
        <v>147</v>
      </c>
      <c r="B639" s="55" t="s">
        <v>1593</v>
      </c>
      <c r="C639" s="55" t="s">
        <v>1593</v>
      </c>
      <c r="D639" s="55" t="s">
        <v>415</v>
      </c>
      <c r="E639" s="55" t="s">
        <v>1594</v>
      </c>
      <c r="F639" s="59" t="s">
        <v>177</v>
      </c>
      <c r="H639" s="59" t="s">
        <v>1595</v>
      </c>
      <c r="I639" s="55" t="s">
        <v>939</v>
      </c>
      <c r="J639" s="61" t="str">
        <f t="shared" si="22"/>
        <v>TungstenTungamoy Metals Inc.</v>
      </c>
      <c r="K639" s="61" t="str">
        <f t="shared" si="23"/>
        <v>TungstenTungamoy Metals Inc.</v>
      </c>
    </row>
    <row r="640" spans="1:11">
      <c r="A640" s="55" t="s">
        <v>147</v>
      </c>
      <c r="B640" s="55" t="s">
        <v>1596</v>
      </c>
      <c r="C640" s="55" t="s">
        <v>1596</v>
      </c>
      <c r="D640" s="55" t="s">
        <v>1164</v>
      </c>
      <c r="E640" s="55" t="s">
        <v>1597</v>
      </c>
      <c r="F640" s="59" t="s">
        <v>177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439</v>
      </c>
      <c r="E641" s="55" t="s">
        <v>1600</v>
      </c>
      <c r="F641" s="59" t="s">
        <v>177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239</v>
      </c>
      <c r="E642" s="55" t="s">
        <v>1605</v>
      </c>
      <c r="F642" s="59" t="s">
        <v>177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239</v>
      </c>
      <c r="E643" s="55" t="s">
        <v>1605</v>
      </c>
      <c r="F643" s="59" t="s">
        <v>177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786</v>
      </c>
      <c r="E644" s="55" t="s">
        <v>1610</v>
      </c>
      <c r="F644" s="59" t="s">
        <v>177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786</v>
      </c>
      <c r="E645" s="55" t="s">
        <v>1610</v>
      </c>
      <c r="F645" s="59" t="s">
        <v>177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786</v>
      </c>
      <c r="E646" s="55" t="s">
        <v>1610</v>
      </c>
      <c r="F646" s="59" t="s">
        <v>177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786</v>
      </c>
      <c r="E647" s="55" t="s">
        <v>1610</v>
      </c>
      <c r="F647" s="59" t="s">
        <v>177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257</v>
      </c>
      <c r="E648" s="55" t="s">
        <v>1617</v>
      </c>
      <c r="F648" s="59" t="s">
        <v>177</v>
      </c>
      <c r="H648" s="55" t="s">
        <v>1618</v>
      </c>
      <c r="I648" s="55" t="s">
        <v>489</v>
      </c>
      <c r="J648" s="61" t="str">
        <f t="shared" si="24"/>
        <v>TungstenXiamen H.C.</v>
      </c>
      <c r="K648" s="61" t="str">
        <f t="shared" si="25"/>
        <v>TungstenXiamen H.C.</v>
      </c>
    </row>
    <row r="649" spans="1:11">
      <c r="A649" s="55" t="s">
        <v>147</v>
      </c>
      <c r="B649" s="55" t="s">
        <v>1616</v>
      </c>
      <c r="C649" s="55" t="s">
        <v>1616</v>
      </c>
      <c r="D649" s="55" t="s">
        <v>257</v>
      </c>
      <c r="E649" s="55" t="s">
        <v>1617</v>
      </c>
      <c r="F649" s="59" t="s">
        <v>177</v>
      </c>
      <c r="H649" s="55" t="s">
        <v>1618</v>
      </c>
      <c r="I649" s="55" t="s">
        <v>489</v>
      </c>
      <c r="J649" s="61" t="str">
        <f t="shared" si="24"/>
        <v>TungstenXiamen Tungsten (H.C.) Co., Ltd.</v>
      </c>
      <c r="K649" s="61" t="str">
        <f t="shared" si="25"/>
        <v>TungstenXiamen Tungsten (H.C.) Co., Ltd.</v>
      </c>
    </row>
    <row r="650" spans="1:11">
      <c r="A650" s="55" t="s">
        <v>147</v>
      </c>
      <c r="B650" s="55" t="s">
        <v>1619</v>
      </c>
      <c r="C650" s="55" t="s">
        <v>1619</v>
      </c>
      <c r="D650" s="55" t="s">
        <v>257</v>
      </c>
      <c r="E650" s="55" t="s">
        <v>1620</v>
      </c>
      <c r="F650" s="59" t="s">
        <v>177</v>
      </c>
      <c r="H650" s="55" t="s">
        <v>1618</v>
      </c>
      <c r="I650" s="55" t="s">
        <v>489</v>
      </c>
      <c r="J650" s="61" t="str">
        <f t="shared" si="24"/>
        <v>TungstenXiamen Tungsten Co., Ltd.</v>
      </c>
      <c r="K650" s="61" t="str">
        <f t="shared" si="25"/>
        <v>TungstenXiamen Tungsten Co., Ltd.</v>
      </c>
    </row>
    <row r="651" spans="1:11">
      <c r="A651" s="55" t="s">
        <v>147</v>
      </c>
      <c r="B651" s="55" t="s">
        <v>1621</v>
      </c>
      <c r="C651" s="55" t="s">
        <v>1621</v>
      </c>
      <c r="D651" s="55" t="s">
        <v>257</v>
      </c>
      <c r="E651" s="55" t="s">
        <v>1622</v>
      </c>
      <c r="F651" s="59" t="s">
        <v>177</v>
      </c>
      <c r="H651" s="55" t="s">
        <v>1311</v>
      </c>
      <c r="I651" s="55" t="s">
        <v>593</v>
      </c>
      <c r="J651" s="61" t="str">
        <f t="shared" si="24"/>
        <v>TungstenYUDU ANSHENG TUNGSTEN CO., LTD.</v>
      </c>
      <c r="K651" s="61" t="str">
        <f t="shared" si="25"/>
        <v>TungstenYUDU ANSHENG TUNGSTEN CO., LTD.</v>
      </c>
    </row>
    <row r="652" spans="1:11">
      <c r="A652" s="55" t="s">
        <v>147</v>
      </c>
      <c r="B652" s="55" t="s">
        <v>1623</v>
      </c>
      <c r="C652" s="55" t="s">
        <v>1478</v>
      </c>
      <c r="D652" s="55" t="s">
        <v>257</v>
      </c>
      <c r="E652" s="55" t="s">
        <v>1479</v>
      </c>
      <c r="F652" s="59" t="s">
        <v>177</v>
      </c>
      <c r="H652" s="55" t="s">
        <v>1299</v>
      </c>
      <c r="I652" s="55" t="s">
        <v>593</v>
      </c>
      <c r="J652" s="61" t="str">
        <f t="shared" si="24"/>
        <v>TungstenZhangyuan Tungsten Co Ltd</v>
      </c>
      <c r="K652" s="61" t="str">
        <f t="shared" si="25"/>
        <v>TungstenZhangyuan Tungsten Co Ltd</v>
      </c>
    </row>
    <row r="653" spans="1:11">
      <c r="A653" s="55" t="s">
        <v>147</v>
      </c>
      <c r="B653" s="55" t="s">
        <v>1624</v>
      </c>
      <c r="C653" s="55" t="s">
        <v>1475</v>
      </c>
      <c r="D653" s="55" t="s">
        <v>257</v>
      </c>
      <c r="E653" s="55" t="s">
        <v>1476</v>
      </c>
      <c r="F653" s="59" t="s">
        <v>177</v>
      </c>
      <c r="H653" s="55" t="s">
        <v>671</v>
      </c>
      <c r="I653" s="55" t="s">
        <v>389</v>
      </c>
      <c r="J653" s="61" t="str">
        <f t="shared" si="24"/>
        <v>Tungsten洛阳栾川钼业集团钨业有限公司</v>
      </c>
      <c r="K653" s="61" t="str">
        <f t="shared" si="25"/>
        <v>Tungsten洛阳栾川钼业集团钨业有限公司</v>
      </c>
    </row>
    <row r="654" spans="1:11">
      <c r="A654" s="55" t="s">
        <v>147</v>
      </c>
      <c r="B654" s="59" t="s">
        <v>1017</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130</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129</v>
      </c>
      <c r="E192" s="7" t="s">
        <v>3540</v>
      </c>
      <c r="F192" s="3" t="s">
        <v>3541</v>
      </c>
      <c r="G192" s="3" t="s">
        <v>3542</v>
      </c>
      <c r="H192" s="3" t="s">
        <v>129</v>
      </c>
      <c r="I192" s="3" t="s">
        <v>3543</v>
      </c>
      <c r="J192" s="3" t="s">
        <v>3544</v>
      </c>
      <c r="K192" s="9" t="s">
        <v>129</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129</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129</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130</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129</v>
      </c>
      <c r="E239" s="3" t="s">
        <v>3540</v>
      </c>
      <c r="F239" s="3" t="s">
        <v>3541</v>
      </c>
      <c r="G239" s="3" t="s">
        <v>3542</v>
      </c>
      <c r="H239" s="3" t="s">
        <v>129</v>
      </c>
      <c r="I239" s="3" t="s">
        <v>3543</v>
      </c>
      <c r="J239" s="3" t="s">
        <v>3544</v>
      </c>
      <c r="K239" s="9" t="s">
        <v>129</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165</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165</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165</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165</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165</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165</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662</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181</v>
      </c>
    </row>
    <row r="16" spans="1:2">
      <c r="A16" t="s">
        <v>4864</v>
      </c>
      <c r="B16" t="s">
        <v>786</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705</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250</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274</v>
      </c>
    </row>
    <row r="43" spans="1:2">
      <c r="A43" t="s">
        <v>4914</v>
      </c>
      <c r="B43" t="s">
        <v>4915</v>
      </c>
    </row>
    <row r="44" spans="1:2">
      <c r="A44" t="s">
        <v>4916</v>
      </c>
      <c r="B44" t="s">
        <v>4917</v>
      </c>
    </row>
    <row r="45" spans="1:2">
      <c r="A45" t="s">
        <v>4918</v>
      </c>
      <c r="B45" t="s">
        <v>4919</v>
      </c>
    </row>
    <row r="46" spans="1:2">
      <c r="A46" t="s">
        <v>4920</v>
      </c>
      <c r="B46" t="s">
        <v>812</v>
      </c>
    </row>
    <row r="47" spans="1:2">
      <c r="A47" t="s">
        <v>4921</v>
      </c>
      <c r="B47" t="s">
        <v>257</v>
      </c>
    </row>
    <row r="48" spans="1:2">
      <c r="A48" t="s">
        <v>4922</v>
      </c>
      <c r="B48" t="s">
        <v>4923</v>
      </c>
    </row>
    <row r="49" spans="1:2">
      <c r="A49" t="s">
        <v>4924</v>
      </c>
      <c r="B49" t="s">
        <v>4925</v>
      </c>
    </row>
    <row r="50" spans="1:2">
      <c r="A50" t="s">
        <v>4926</v>
      </c>
      <c r="B50" t="s">
        <v>298</v>
      </c>
    </row>
    <row r="51" spans="1:2">
      <c r="A51" t="s">
        <v>4927</v>
      </c>
      <c r="B51" t="s">
        <v>4928</v>
      </c>
    </row>
    <row r="52" spans="1:2">
      <c r="A52" t="s">
        <v>4929</v>
      </c>
      <c r="B52" t="s">
        <v>4930</v>
      </c>
    </row>
    <row r="53" spans="1:2">
      <c r="A53" t="s">
        <v>4931</v>
      </c>
      <c r="B53" t="s">
        <v>1340</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859</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1019</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328</v>
      </c>
    </row>
    <row r="78" spans="1:2">
      <c r="A78" t="s">
        <v>4977</v>
      </c>
      <c r="B78" t="s">
        <v>848</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200</v>
      </c>
    </row>
    <row r="86" spans="1:2">
      <c r="A86" t="s">
        <v>4990</v>
      </c>
      <c r="B86" t="s">
        <v>510</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292</v>
      </c>
    </row>
    <row r="106" spans="1:2">
      <c r="A106" t="s">
        <v>5028</v>
      </c>
      <c r="B106" t="s">
        <v>822</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175</v>
      </c>
    </row>
    <row r="113" spans="1:2">
      <c r="A113" t="s">
        <v>5040</v>
      </c>
      <c r="B113" t="s">
        <v>5041</v>
      </c>
    </row>
    <row r="114" spans="1:2">
      <c r="A114" t="s">
        <v>5042</v>
      </c>
      <c r="B114" t="s">
        <v>213</v>
      </c>
    </row>
    <row r="115" spans="1:2">
      <c r="A115" t="s">
        <v>5043</v>
      </c>
      <c r="B115" t="s">
        <v>5044</v>
      </c>
    </row>
    <row r="116" spans="1:2">
      <c r="A116" t="s">
        <v>5045</v>
      </c>
      <c r="B116" t="s">
        <v>5046</v>
      </c>
    </row>
    <row r="117" spans="1:2">
      <c r="A117" t="s">
        <v>5047</v>
      </c>
      <c r="B117" t="s">
        <v>609</v>
      </c>
    </row>
    <row r="118" spans="1:2">
      <c r="A118" t="s">
        <v>5048</v>
      </c>
      <c r="B118" t="s">
        <v>5049</v>
      </c>
    </row>
    <row r="119" spans="1:2">
      <c r="A119" t="s">
        <v>5050</v>
      </c>
      <c r="B119" t="s">
        <v>5051</v>
      </c>
    </row>
    <row r="120" spans="1:2">
      <c r="A120" t="s">
        <v>5052</v>
      </c>
      <c r="B120" t="s">
        <v>5053</v>
      </c>
    </row>
    <row r="121" spans="1:2">
      <c r="A121" t="s">
        <v>5054</v>
      </c>
      <c r="B121" t="s">
        <v>415</v>
      </c>
    </row>
    <row r="122" spans="1:2">
      <c r="A122" t="s">
        <v>5055</v>
      </c>
      <c r="B122" t="s">
        <v>5056</v>
      </c>
    </row>
    <row r="123" spans="1:2">
      <c r="A123" t="s">
        <v>5057</v>
      </c>
      <c r="B123" t="s">
        <v>340</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932</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752</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348</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757</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505</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264</v>
      </c>
    </row>
    <row r="177" spans="1:2">
      <c r="A177" t="s">
        <v>5158</v>
      </c>
      <c r="B177" t="s">
        <v>323</v>
      </c>
    </row>
    <row r="178" spans="1:2">
      <c r="A178" t="s">
        <v>5159</v>
      </c>
      <c r="B178" t="s">
        <v>5160</v>
      </c>
    </row>
    <row r="179" spans="1:2">
      <c r="A179" t="s">
        <v>5161</v>
      </c>
      <c r="B179" t="s">
        <v>623</v>
      </c>
    </row>
    <row r="180" spans="1:2">
      <c r="A180" t="s">
        <v>5162</v>
      </c>
      <c r="B180" t="s">
        <v>229</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439</v>
      </c>
    </row>
    <row r="186" spans="1:2">
      <c r="A186" t="s">
        <v>5172</v>
      </c>
      <c r="B186" t="s">
        <v>491</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718</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303</v>
      </c>
    </row>
    <row r="209" spans="1:2">
      <c r="A209" t="s">
        <v>5215</v>
      </c>
      <c r="B209" t="s">
        <v>5216</v>
      </c>
    </row>
    <row r="210" spans="1:2">
      <c r="A210" t="s">
        <v>5217</v>
      </c>
      <c r="B210" t="s">
        <v>5218</v>
      </c>
    </row>
    <row r="211" spans="1:2">
      <c r="A211" t="s">
        <v>5219</v>
      </c>
      <c r="B211" t="s">
        <v>288</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333</v>
      </c>
    </row>
    <row r="217" spans="1:2">
      <c r="A217" t="s">
        <v>5229</v>
      </c>
      <c r="B217" t="s">
        <v>268</v>
      </c>
    </row>
    <row r="218" spans="1:2">
      <c r="A218" t="s">
        <v>5230</v>
      </c>
      <c r="B218" t="s">
        <v>5231</v>
      </c>
    </row>
    <row r="219" spans="1:2">
      <c r="A219" t="s">
        <v>5232</v>
      </c>
      <c r="B219" t="s">
        <v>444</v>
      </c>
    </row>
    <row r="220" spans="1:2">
      <c r="A220" t="s">
        <v>5233</v>
      </c>
      <c r="B220" t="s">
        <v>5234</v>
      </c>
    </row>
    <row r="221" spans="1:2">
      <c r="A221" t="s">
        <v>5235</v>
      </c>
      <c r="B221" t="s">
        <v>496</v>
      </c>
    </row>
    <row r="222" spans="1:2">
      <c r="A222" t="s">
        <v>5236</v>
      </c>
      <c r="B222" t="s">
        <v>978</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195</v>
      </c>
    </row>
    <row r="234" spans="1:2">
      <c r="A234" t="s">
        <v>5258</v>
      </c>
      <c r="B234" t="s">
        <v>5259</v>
      </c>
    </row>
    <row r="235" spans="1:2">
      <c r="A235" t="s">
        <v>5260</v>
      </c>
      <c r="B235" t="s">
        <v>224</v>
      </c>
    </row>
    <row r="236" spans="1:2">
      <c r="A236" t="s">
        <v>5261</v>
      </c>
      <c r="B236" t="s">
        <v>5262</v>
      </c>
    </row>
    <row r="237" spans="1:2">
      <c r="A237" t="s">
        <v>5263</v>
      </c>
      <c r="B237" t="s">
        <v>5264</v>
      </c>
    </row>
    <row r="238" spans="1:2">
      <c r="A238" t="s">
        <v>5265</v>
      </c>
      <c r="B238" t="s">
        <v>186</v>
      </c>
    </row>
    <row r="239" spans="1:2">
      <c r="A239" t="s">
        <v>5266</v>
      </c>
      <c r="B239" t="s">
        <v>5267</v>
      </c>
    </row>
    <row r="240" spans="1:2">
      <c r="A240" t="s">
        <v>5268</v>
      </c>
      <c r="B240" t="s">
        <v>239</v>
      </c>
    </row>
    <row r="241" spans="1:2">
      <c r="A241" t="s">
        <v>5269</v>
      </c>
      <c r="B241" t="s">
        <v>5270</v>
      </c>
    </row>
    <row r="242" spans="1:2">
      <c r="A242" t="s">
        <v>5271</v>
      </c>
      <c r="B242" t="s">
        <v>5272</v>
      </c>
    </row>
    <row r="243" spans="1:2">
      <c r="A243" t="s">
        <v>5273</v>
      </c>
      <c r="B243" t="s">
        <v>1164</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470</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664</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227</v>
      </c>
      <c r="C11" t="str">
        <f t="shared" si="0"/>
        <v>AEDubayy</v>
      </c>
    </row>
    <row r="12" spans="1:3">
      <c r="A12" t="s">
        <v>5308</v>
      </c>
      <c r="B12" t="s">
        <v>483</v>
      </c>
      <c r="C12" t="str">
        <f t="shared" si="0"/>
        <v>AEAl Fujayrah</v>
      </c>
    </row>
    <row r="13" spans="1:3">
      <c r="A13" t="s">
        <v>5309</v>
      </c>
      <c r="B13" t="s">
        <v>5310</v>
      </c>
      <c r="C13" t="str">
        <f t="shared" si="0"/>
        <v>AERa’s al Khaymah</v>
      </c>
    </row>
    <row r="14" spans="1:3">
      <c r="A14" t="s">
        <v>5311</v>
      </c>
      <c r="B14" t="s">
        <v>412</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789</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184</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208</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708</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1244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401</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253</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1251</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1204</v>
      </c>
      <c r="C544" t="str">
        <f t="shared" si="8"/>
        <v>BRSanta Catarina</v>
      </c>
    </row>
    <row r="545" spans="1:3">
      <c r="A545" t="s">
        <v>6210</v>
      </c>
      <c r="B545" t="s">
        <v>6211</v>
      </c>
      <c r="C545" t="str">
        <f t="shared" si="8"/>
        <v>BRSergipe</v>
      </c>
    </row>
    <row r="546" spans="1:3">
      <c r="A546" t="s">
        <v>6212</v>
      </c>
      <c r="B546" t="s">
        <v>677</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1210</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277</v>
      </c>
      <c r="C669" t="str">
        <f t="shared" si="10"/>
        <v>CAOntario</v>
      </c>
    </row>
    <row r="670" spans="1:3">
      <c r="A670" t="s">
        <v>6420</v>
      </c>
      <c r="B670" t="s">
        <v>277</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356</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1343</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362</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746</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713</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271</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815</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260</v>
      </c>
      <c r="C830" t="str">
        <f t="shared" si="12"/>
        <v>CNAnhui Sheng</v>
      </c>
    </row>
    <row r="831" spans="1:3">
      <c r="A831" t="s">
        <v>6686</v>
      </c>
      <c r="B831" t="s">
        <v>489</v>
      </c>
      <c r="C831" t="str">
        <f t="shared" si="12"/>
        <v>CNFujian Sheng</v>
      </c>
    </row>
    <row r="832" spans="1:3">
      <c r="A832" t="s">
        <v>6687</v>
      </c>
      <c r="B832" t="s">
        <v>897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389</v>
      </c>
      <c r="C835" t="str">
        <f t="shared" ref="C835:C898" si="13">LEFT(A835,2)&amp;B835</f>
        <v>CNHenan Sheng</v>
      </c>
    </row>
    <row r="836" spans="1:3">
      <c r="A836" t="s">
        <v>6693</v>
      </c>
      <c r="B836" t="s">
        <v>405</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549</v>
      </c>
      <c r="C840" t="str">
        <f t="shared" si="13"/>
        <v>CNHunan Sheng</v>
      </c>
    </row>
    <row r="841" spans="1:3">
      <c r="A841" t="s">
        <v>6701</v>
      </c>
      <c r="B841" t="s">
        <v>6702</v>
      </c>
      <c r="C841" t="str">
        <f t="shared" si="13"/>
        <v>CNJilin Sheng</v>
      </c>
    </row>
    <row r="842" spans="1:3">
      <c r="A842" t="s">
        <v>6703</v>
      </c>
      <c r="B842" t="s">
        <v>422</v>
      </c>
      <c r="C842" t="str">
        <f t="shared" si="13"/>
        <v>CNJiangsu Sheng</v>
      </c>
    </row>
    <row r="843" spans="1:3">
      <c r="A843" t="s">
        <v>6704</v>
      </c>
      <c r="B843" t="s">
        <v>593</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520</v>
      </c>
      <c r="C846" t="str">
        <f t="shared" si="13"/>
        <v>CNSichuan Sheng</v>
      </c>
    </row>
    <row r="847" spans="1:3">
      <c r="A847" t="s">
        <v>6710</v>
      </c>
      <c r="B847" t="s">
        <v>394</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379</v>
      </c>
      <c r="C851" t="str">
        <f t="shared" si="13"/>
        <v>CNYunnan Sheng</v>
      </c>
    </row>
    <row r="852" spans="1:3">
      <c r="A852" t="s">
        <v>6718</v>
      </c>
      <c r="B852" t="s">
        <v>525</v>
      </c>
      <c r="C852" t="str">
        <f t="shared" si="13"/>
        <v>CNZhejiang Sheng</v>
      </c>
    </row>
    <row r="853" spans="1:3">
      <c r="A853" t="s">
        <v>6719</v>
      </c>
      <c r="B853" t="s">
        <v>1189</v>
      </c>
      <c r="C853" t="str">
        <f t="shared" si="13"/>
        <v>CNGuangxi Zhuangzu Zizhiqu</v>
      </c>
    </row>
    <row r="854" spans="1:3">
      <c r="A854" t="s">
        <v>6720</v>
      </c>
      <c r="B854" t="s">
        <v>568</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401</v>
      </c>
      <c r="C867" t="str">
        <f t="shared" si="13"/>
        <v>COAmazonas</v>
      </c>
    </row>
    <row r="868" spans="1:3">
      <c r="A868" t="s">
        <v>6743</v>
      </c>
      <c r="B868" t="s">
        <v>301</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1204</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862</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203</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539</v>
      </c>
      <c r="C1054" t="str">
        <f t="shared" si="16"/>
        <v>DEHessen</v>
      </c>
    </row>
    <row r="1055" spans="1:3">
      <c r="A1055" t="s">
        <v>7102</v>
      </c>
      <c r="B1055" t="s">
        <v>314</v>
      </c>
      <c r="C1055" t="str">
        <f t="shared" si="16"/>
        <v>DEHamburg</v>
      </c>
    </row>
    <row r="1056" spans="1:3">
      <c r="A1056" t="s">
        <v>7103</v>
      </c>
      <c r="B1056" t="s">
        <v>7104</v>
      </c>
      <c r="C1056" t="str">
        <f t="shared" si="16"/>
        <v>DEMecklenburg-Vorpommern</v>
      </c>
    </row>
    <row r="1057" spans="1:3">
      <c r="A1057" t="s">
        <v>7105</v>
      </c>
      <c r="B1057" t="s">
        <v>1070</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1021</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1116</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1115</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290</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1210</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877</v>
      </c>
      <c r="C1402" t="str">
        <f t="shared" si="21"/>
        <v>ESMadrid, Comunidad de</v>
      </c>
    </row>
    <row r="1403" spans="1:3">
      <c r="A1403" t="s">
        <v>7760</v>
      </c>
      <c r="B1403" t="s">
        <v>876</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1175</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331</v>
      </c>
      <c r="C1484" t="str">
        <f t="shared" si="23"/>
        <v>FISatakunta</v>
      </c>
    </row>
    <row r="1485" spans="1:3">
      <c r="A1485" t="s">
        <v>7881</v>
      </c>
      <c r="B1485" t="s">
        <v>331</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1125</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1430</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851</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992</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1147</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513</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1125</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1430</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1430</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825</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1214</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1382</v>
      </c>
      <c r="C2183" t="str">
        <f t="shared" si="34"/>
        <v>IDKepulauan Riau</v>
      </c>
    </row>
    <row r="2184" spans="1:3">
      <c r="A2184" t="s">
        <v>9196</v>
      </c>
      <c r="B2184" t="s">
        <v>9197</v>
      </c>
      <c r="C2184" t="str">
        <f t="shared" si="34"/>
        <v>IDLampung</v>
      </c>
    </row>
    <row r="2185" spans="1:3">
      <c r="A2185" t="s">
        <v>9198</v>
      </c>
      <c r="B2185" t="s">
        <v>1307</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585</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1371</v>
      </c>
      <c r="C2273" t="str">
        <f t="shared" si="35"/>
        <v>INChhattīsgarh</v>
      </c>
    </row>
    <row r="2274" spans="1:3">
      <c r="A2274" t="s">
        <v>9334</v>
      </c>
      <c r="B2274" t="s">
        <v>9335</v>
      </c>
      <c r="C2274" t="str">
        <f t="shared" si="35"/>
        <v>INGoa</v>
      </c>
    </row>
    <row r="2275" spans="1:3">
      <c r="A2275" t="s">
        <v>9336</v>
      </c>
      <c r="B2275" t="s">
        <v>503</v>
      </c>
      <c r="C2275" t="str">
        <f t="shared" si="35"/>
        <v>INGujarāt</v>
      </c>
    </row>
    <row r="2276" spans="1:3">
      <c r="A2276" t="s">
        <v>9337</v>
      </c>
      <c r="B2276" t="s">
        <v>1399</v>
      </c>
      <c r="C2276" t="str">
        <f t="shared" si="35"/>
        <v>INHimāchal Pradesh</v>
      </c>
    </row>
    <row r="2277" spans="1:3">
      <c r="A2277" t="s">
        <v>9338</v>
      </c>
      <c r="B2277" t="s">
        <v>750</v>
      </c>
      <c r="C2277" t="str">
        <f t="shared" si="35"/>
        <v>INHaryāna</v>
      </c>
    </row>
    <row r="2278" spans="1:3">
      <c r="A2278" t="s">
        <v>9339</v>
      </c>
      <c r="B2278" t="s">
        <v>9340</v>
      </c>
      <c r="C2278" t="str">
        <f t="shared" si="35"/>
        <v>INJhārkhand</v>
      </c>
    </row>
    <row r="2279" spans="1:3">
      <c r="A2279" t="s">
        <v>9341</v>
      </c>
      <c r="B2279" t="s">
        <v>320</v>
      </c>
      <c r="C2279" t="str">
        <f t="shared" si="35"/>
        <v>INKarnātaka</v>
      </c>
    </row>
    <row r="2280" spans="1:3">
      <c r="A2280" t="s">
        <v>9342</v>
      </c>
      <c r="B2280" t="s">
        <v>368</v>
      </c>
      <c r="C2280" t="str">
        <f t="shared" si="35"/>
        <v>INKerala</v>
      </c>
    </row>
    <row r="2281" spans="1:3">
      <c r="A2281" t="s">
        <v>9343</v>
      </c>
      <c r="B2281" t="s">
        <v>310</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455</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295</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179</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581</v>
      </c>
      <c r="C2468" t="str">
        <f t="shared" si="38"/>
        <v>ITToscana</v>
      </c>
    </row>
    <row r="2469" spans="1:3">
      <c r="A2469" t="s">
        <v>9710</v>
      </c>
      <c r="B2469" t="s">
        <v>384</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221</v>
      </c>
      <c r="C2583" t="str">
        <f t="shared" si="40"/>
        <v>JPAkita</v>
      </c>
    </row>
    <row r="2584" spans="1:3">
      <c r="A2584" t="s">
        <v>9929</v>
      </c>
      <c r="B2584" t="s">
        <v>9930</v>
      </c>
      <c r="C2584" t="str">
        <f t="shared" si="40"/>
        <v>JPYamagata</v>
      </c>
    </row>
    <row r="2585" spans="1:3">
      <c r="A2585" t="s">
        <v>9931</v>
      </c>
      <c r="B2585" t="s">
        <v>285</v>
      </c>
      <c r="C2585" t="str">
        <f t="shared" si="40"/>
        <v>JPFukushima</v>
      </c>
    </row>
    <row r="2586" spans="1:3">
      <c r="A2586" t="s">
        <v>9931</v>
      </c>
      <c r="B2586" t="s">
        <v>9932</v>
      </c>
      <c r="C2586" t="str">
        <f t="shared" si="40"/>
        <v>JPHukusima</v>
      </c>
    </row>
    <row r="2587" spans="1:3">
      <c r="A2587" t="s">
        <v>9933</v>
      </c>
      <c r="B2587" t="s">
        <v>247</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430</v>
      </c>
      <c r="C2591" t="str">
        <f t="shared" si="40"/>
        <v>JPSaitama</v>
      </c>
    </row>
    <row r="2592" spans="1:3">
      <c r="A2592" t="s">
        <v>9940</v>
      </c>
      <c r="B2592" t="s">
        <v>779</v>
      </c>
      <c r="C2592" t="str">
        <f t="shared" si="40"/>
        <v>JPChiba</v>
      </c>
    </row>
    <row r="2593" spans="1:3">
      <c r="A2593" t="s">
        <v>9940</v>
      </c>
      <c r="B2593" t="s">
        <v>9941</v>
      </c>
      <c r="C2593" t="str">
        <f t="shared" si="40"/>
        <v>JPTiba</v>
      </c>
    </row>
    <row r="2594" spans="1:3">
      <c r="A2594" t="s">
        <v>9942</v>
      </c>
      <c r="B2594" t="s">
        <v>216</v>
      </c>
      <c r="C2594" t="str">
        <f t="shared" si="40"/>
        <v>JPTokyo</v>
      </c>
    </row>
    <row r="2595" spans="1:3">
      <c r="A2595" t="s">
        <v>9942</v>
      </c>
      <c r="B2595" t="s">
        <v>9943</v>
      </c>
      <c r="C2595" t="str">
        <f t="shared" si="40"/>
        <v>JPTôkyô</v>
      </c>
    </row>
    <row r="2596" spans="1:3">
      <c r="A2596" t="s">
        <v>9944</v>
      </c>
      <c r="B2596" t="s">
        <v>1005</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588</v>
      </c>
      <c r="C2617" t="str">
        <f t="shared" si="40"/>
        <v>JPOsaka</v>
      </c>
    </row>
    <row r="2618" spans="1:3">
      <c r="A2618" t="s">
        <v>9976</v>
      </c>
      <c r="B2618" t="s">
        <v>9977</v>
      </c>
      <c r="C2618" t="str">
        <f t="shared" si="40"/>
        <v>JPÔsaka</v>
      </c>
    </row>
    <row r="2619" spans="1:3">
      <c r="A2619" t="s">
        <v>9978</v>
      </c>
      <c r="B2619" t="s">
        <v>1143</v>
      </c>
      <c r="C2619" t="str">
        <f t="shared" si="40"/>
        <v>JPHyogo</v>
      </c>
    </row>
    <row r="2620" spans="1:3">
      <c r="A2620" t="s">
        <v>9978</v>
      </c>
      <c r="B2620" t="s">
        <v>1291</v>
      </c>
      <c r="C2620" t="str">
        <f t="shared" si="40"/>
        <v>JPHyôgo</v>
      </c>
    </row>
    <row r="2621" spans="1:3">
      <c r="A2621" t="s">
        <v>9979</v>
      </c>
      <c r="B2621" t="s">
        <v>795</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436</v>
      </c>
      <c r="C2626" t="str">
        <f t="shared" si="40"/>
        <v>JPOkayama</v>
      </c>
    </row>
    <row r="2627" spans="1:3">
      <c r="A2627" t="s">
        <v>9988</v>
      </c>
      <c r="B2627" t="s">
        <v>742</v>
      </c>
      <c r="C2627" t="str">
        <f t="shared" ref="C2627:C2690" si="41">LEFT(A2627,2)&amp;B2627</f>
        <v>JPHiroshima</v>
      </c>
    </row>
    <row r="2628" spans="1:3">
      <c r="A2628" t="s">
        <v>9988</v>
      </c>
      <c r="B2628" t="s">
        <v>1409</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768</v>
      </c>
      <c r="C2633" t="str">
        <f t="shared" si="41"/>
        <v>JPKagawa</v>
      </c>
    </row>
    <row r="2634" spans="1:3">
      <c r="A2634" t="s">
        <v>9996</v>
      </c>
      <c r="B2634" t="s">
        <v>9997</v>
      </c>
      <c r="C2634" t="str">
        <f t="shared" si="41"/>
        <v>JPEhime</v>
      </c>
    </row>
    <row r="2635" spans="1:3">
      <c r="A2635" t="s">
        <v>9998</v>
      </c>
      <c r="B2635" t="s">
        <v>635</v>
      </c>
      <c r="C2635" t="str">
        <f t="shared" si="41"/>
        <v>JPKochi</v>
      </c>
    </row>
    <row r="2636" spans="1:3">
      <c r="A2636" t="s">
        <v>9998</v>
      </c>
      <c r="B2636" t="s">
        <v>9999</v>
      </c>
      <c r="C2636" t="str">
        <f t="shared" si="41"/>
        <v>JPKôti</v>
      </c>
    </row>
    <row r="2637" spans="1:3">
      <c r="A2637" t="s">
        <v>10000</v>
      </c>
      <c r="B2637" t="s">
        <v>1110</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343</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644</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530</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668</v>
      </c>
      <c r="C2835" t="str">
        <f t="shared" si="44"/>
        <v>KRUlsan-gwangyeoksi</v>
      </c>
    </row>
    <row r="2836" spans="1:3">
      <c r="A2836" t="s">
        <v>10325</v>
      </c>
      <c r="B2836" t="s">
        <v>418</v>
      </c>
      <c r="C2836" t="str">
        <f t="shared" si="44"/>
        <v>KRGyeonggi-do</v>
      </c>
    </row>
    <row r="2837" spans="1:3">
      <c r="A2837" t="s">
        <v>10326</v>
      </c>
      <c r="B2837" t="s">
        <v>10327</v>
      </c>
      <c r="C2837" t="str">
        <f t="shared" si="44"/>
        <v>KRChungcheongbuk-do</v>
      </c>
    </row>
    <row r="2838" spans="1:3">
      <c r="A2838" t="s">
        <v>10328</v>
      </c>
      <c r="B2838" t="s">
        <v>974</v>
      </c>
      <c r="C2838" t="str">
        <f t="shared" si="44"/>
        <v>KRChungcheongnam-do</v>
      </c>
    </row>
    <row r="2839" spans="1:3">
      <c r="A2839" t="s">
        <v>10329</v>
      </c>
      <c r="B2839" t="s">
        <v>939</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612</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617</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969</v>
      </c>
      <c r="C2903" t="str">
        <f t="shared" si="45"/>
        <v>KZAstana</v>
      </c>
    </row>
    <row r="2904" spans="1:3">
      <c r="A2904" t="s">
        <v>10419</v>
      </c>
      <c r="B2904" t="s">
        <v>969</v>
      </c>
      <c r="C2904" t="str">
        <f t="shared" si="45"/>
        <v>KZAstana</v>
      </c>
    </row>
    <row r="2905" spans="1:3">
      <c r="A2905" t="s">
        <v>10419</v>
      </c>
      <c r="B2905" t="s">
        <v>969</v>
      </c>
      <c r="C2905" t="str">
        <f t="shared" si="45"/>
        <v>KZAstana</v>
      </c>
    </row>
    <row r="2906" spans="1:3">
      <c r="A2906" t="s">
        <v>10420</v>
      </c>
      <c r="B2906" t="s">
        <v>970</v>
      </c>
      <c r="C2906" t="str">
        <f t="shared" si="45"/>
        <v>KZAlmaty</v>
      </c>
    </row>
    <row r="2907" spans="1:3">
      <c r="A2907" t="s">
        <v>10420</v>
      </c>
      <c r="B2907" t="s">
        <v>970</v>
      </c>
      <c r="C2907" t="str">
        <f t="shared" si="45"/>
        <v>KZAlmaty</v>
      </c>
    </row>
    <row r="2908" spans="1:3">
      <c r="A2908" t="s">
        <v>10420</v>
      </c>
      <c r="B2908" t="s">
        <v>970</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934</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218</v>
      </c>
      <c r="C3839" t="str">
        <f t="shared" si="59"/>
        <v>MWDowa</v>
      </c>
    </row>
    <row r="3840" spans="1:3">
      <c r="A3840" t="s">
        <v>11949</v>
      </c>
      <c r="B3840" t="s">
        <v>218</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698</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351</v>
      </c>
      <c r="C3921" t="str">
        <f t="shared" si="61"/>
        <v>MXSonora</v>
      </c>
    </row>
    <row r="3922" spans="1:3">
      <c r="A3922" t="s">
        <v>12056</v>
      </c>
      <c r="B3922" t="s">
        <v>12057</v>
      </c>
      <c r="C3922" t="str">
        <f t="shared" si="61"/>
        <v>MXTabasco</v>
      </c>
    </row>
    <row r="3923" spans="1:3">
      <c r="A3923" t="s">
        <v>12058</v>
      </c>
      <c r="B3923" t="s">
        <v>1096</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755</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1322</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842</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607</v>
      </c>
      <c r="C4060" t="str">
        <f t="shared" si="63"/>
        <v>NOInnlandet</v>
      </c>
    </row>
    <row r="4061" spans="1:3">
      <c r="A4061" t="s">
        <v>12313</v>
      </c>
      <c r="B4061" t="s">
        <v>607</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508</v>
      </c>
      <c r="C4064" t="str">
        <f t="shared" si="63"/>
        <v>NOAgder</v>
      </c>
    </row>
    <row r="4065" spans="1:3">
      <c r="A4065" t="s">
        <v>12316</v>
      </c>
      <c r="B4065" t="s">
        <v>508</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760</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401</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373</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1266</v>
      </c>
      <c r="C4209" t="str">
        <f t="shared" si="65"/>
        <v>PEIka</v>
      </c>
    </row>
    <row r="4210" spans="1:3">
      <c r="A4210" t="s">
        <v>12510</v>
      </c>
      <c r="B4210" t="s">
        <v>1266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266</v>
      </c>
      <c r="C4221" t="str">
        <f t="shared" si="65"/>
        <v>PELima</v>
      </c>
    </row>
    <row r="4222" spans="1:3">
      <c r="A4222" t="s">
        <v>12522</v>
      </c>
      <c r="B4222" t="s">
        <v>266</v>
      </c>
      <c r="C4222" t="str">
        <f t="shared" si="65"/>
        <v>PELima</v>
      </c>
    </row>
    <row r="4223" spans="1:3">
      <c r="A4223" t="s">
        <v>12522</v>
      </c>
      <c r="B4223" t="s">
        <v>266</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1430</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1359</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326</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626</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1261</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232</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654</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913</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479</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819</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442</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468</v>
      </c>
      <c r="C4790" t="str">
        <f t="shared" si="74"/>
        <v>RUMoskva</v>
      </c>
    </row>
    <row r="4791" spans="1:3">
      <c r="A4791" t="s">
        <v>13373</v>
      </c>
      <c r="B4791" t="s">
        <v>468</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799</v>
      </c>
      <c r="C4805" t="str">
        <f t="shared" si="75"/>
        <v>RUKrasnoyarskiy kray</v>
      </c>
    </row>
    <row r="4806" spans="1:3">
      <c r="A4806" t="s">
        <v>13393</v>
      </c>
      <c r="B4806" t="s">
        <v>1138</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494</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1125</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1430</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1430</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336</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721</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1125</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981</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1355</v>
      </c>
      <c r="C5428" t="str">
        <f t="shared" si="84"/>
        <v>THChon Buri</v>
      </c>
    </row>
    <row r="5429" spans="1:3">
      <c r="A5429" t="s">
        <v>14445</v>
      </c>
      <c r="B5429" t="s">
        <v>1053</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1414</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578</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447</v>
      </c>
      <c r="C5674" t="str">
        <f t="shared" si="88"/>
        <v>TWKaohsiung</v>
      </c>
    </row>
    <row r="5675" spans="1:3">
      <c r="A5675" t="s">
        <v>14906</v>
      </c>
      <c r="B5675" t="s">
        <v>14907</v>
      </c>
      <c r="C5675" t="str">
        <f t="shared" si="88"/>
        <v>TWNew Taipei</v>
      </c>
    </row>
    <row r="5676" spans="1:3">
      <c r="A5676" t="s">
        <v>14908</v>
      </c>
      <c r="B5676" t="s">
        <v>920</v>
      </c>
      <c r="C5676" t="str">
        <f t="shared" si="88"/>
        <v>TWTaoyuan</v>
      </c>
    </row>
    <row r="5677" spans="1:3">
      <c r="A5677" t="s">
        <v>14909</v>
      </c>
      <c r="B5677" t="s">
        <v>925</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499</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198</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1125</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1430</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1429</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1367</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728</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702</v>
      </c>
      <c r="C5939" t="str">
        <f t="shared" si="92"/>
        <v>USNorth Carolina</v>
      </c>
    </row>
    <row r="5940" spans="1:3">
      <c r="A5940" t="s">
        <v>15407</v>
      </c>
      <c r="B5940" t="s">
        <v>855</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681</v>
      </c>
      <c r="C5946" t="str">
        <f t="shared" si="92"/>
        <v>USNew York</v>
      </c>
    </row>
    <row r="5947" spans="1:3">
      <c r="A5947" t="s">
        <v>15418</v>
      </c>
      <c r="B5947" t="s">
        <v>236</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189</v>
      </c>
      <c r="C5950" t="str">
        <f t="shared" si="92"/>
        <v>USPennsylvania</v>
      </c>
    </row>
    <row r="5951" spans="1:3">
      <c r="A5951" t="s">
        <v>15424</v>
      </c>
      <c r="B5951" t="s">
        <v>193</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1197</v>
      </c>
      <c r="C5955" t="str">
        <f t="shared" ref="C5955:C6018" si="93">LEFT(A5955,2)&amp;B5955</f>
        <v>USTexas</v>
      </c>
    </row>
    <row r="5956" spans="1:3">
      <c r="A5956" t="s">
        <v>15432</v>
      </c>
      <c r="B5956" t="s">
        <v>281</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772</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242</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242</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401</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1240</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1167</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306</v>
      </c>
      <c r="C6169" t="str">
        <f t="shared" si="96"/>
        <v>ZAGauteng</v>
      </c>
    </row>
    <row r="6170" spans="1:3">
      <c r="A6170" t="s">
        <v>15783</v>
      </c>
      <c r="B6170" t="s">
        <v>306</v>
      </c>
      <c r="C6170" t="str">
        <f t="shared" si="96"/>
        <v>ZAGauteng</v>
      </c>
    </row>
    <row r="6171" spans="1:3">
      <c r="A6171" t="s">
        <v>15783</v>
      </c>
      <c r="B6171" t="s">
        <v>15784</v>
      </c>
      <c r="C6171" t="str">
        <f t="shared" si="96"/>
        <v>ZAiGauteng</v>
      </c>
    </row>
    <row r="6172" spans="1:3">
      <c r="A6172" t="s">
        <v>15783</v>
      </c>
      <c r="B6172" t="s">
        <v>306</v>
      </c>
      <c r="C6172" t="str">
        <f t="shared" si="96"/>
        <v>ZAGauteng</v>
      </c>
    </row>
    <row r="6173" spans="1:3">
      <c r="A6173" t="s">
        <v>15783</v>
      </c>
      <c r="B6173" t="s">
        <v>15785</v>
      </c>
      <c r="C6173" t="str">
        <f t="shared" si="96"/>
        <v>ZAKgauteng</v>
      </c>
    </row>
    <row r="6174" spans="1:3">
      <c r="A6174" t="s">
        <v>15783</v>
      </c>
      <c r="B6174" t="s">
        <v>306</v>
      </c>
      <c r="C6174" t="str">
        <f t="shared" si="96"/>
        <v>ZAGauteng</v>
      </c>
    </row>
    <row r="6175" spans="1:3">
      <c r="A6175" t="s">
        <v>15783</v>
      </c>
      <c r="B6175" t="s">
        <v>306</v>
      </c>
      <c r="C6175" t="str">
        <f t="shared" si="96"/>
        <v>ZAGauteng</v>
      </c>
    </row>
    <row r="6176" spans="1:3">
      <c r="A6176" t="s">
        <v>15783</v>
      </c>
      <c r="B6176" t="s">
        <v>306</v>
      </c>
      <c r="C6176" t="str">
        <f t="shared" si="96"/>
        <v>ZAGauteng</v>
      </c>
    </row>
    <row r="6177" spans="1:3">
      <c r="A6177" t="s">
        <v>15783</v>
      </c>
      <c r="B6177" t="s">
        <v>306</v>
      </c>
      <c r="C6177" t="str">
        <f t="shared" si="96"/>
        <v>ZAGauteng</v>
      </c>
    </row>
    <row r="6178" spans="1:3">
      <c r="A6178" t="s">
        <v>15783</v>
      </c>
      <c r="B6178" t="s">
        <v>15786</v>
      </c>
      <c r="C6178" t="str">
        <f t="shared" si="96"/>
        <v>ZARhawuti</v>
      </c>
    </row>
    <row r="6179" spans="1:3">
      <c r="A6179" t="s">
        <v>15783</v>
      </c>
      <c r="B6179" t="s">
        <v>306</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1430</v>
      </c>
      <c r="C6242" t="str">
        <f t="shared" si="97"/>
        <v>ZMWestern</v>
      </c>
    </row>
    <row r="6243" spans="1:3">
      <c r="A6243" t="s">
        <v>15833</v>
      </c>
      <c r="B6243" t="s">
        <v>6322</v>
      </c>
      <c r="C6243" t="str">
        <f t="shared" si="97"/>
        <v>ZMCentral</v>
      </c>
    </row>
    <row r="6244" spans="1:3">
      <c r="A6244" t="s">
        <v>15834</v>
      </c>
      <c r="B6244" t="s">
        <v>1125</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473</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2026-07-16T08:55:54Z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2052-12.1.0.26884</vt:lpwstr>
  </property>
  <property fmtid="{D5CDD505-2E9C-101B-9397-08002B2CF9AE}" pid="6" name="ICV">
    <vt:lpwstr>1CCAF389C74944A8A6719ABB302603D3_13</vt:lpwstr>
  </property>
  <property fmtid="{D5CDD505-2E9C-101B-9397-08002B2CF9AE}" pid="7" name="CalculationRule">
    <vt:i4>0</vt:i4>
  </property>
</Properties>
</file>